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0" windowWidth="21660" windowHeight="6270"/>
  </bookViews>
  <sheets>
    <sheet name="Inputs-Outputs" sheetId="1" r:id="rId1"/>
    <sheet name="CF Detail" sheetId="2" r:id="rId2"/>
    <sheet name="Depn-ATSV" sheetId="3" r:id="rId3"/>
    <sheet name="IRR" sheetId="6" r:id="rId4"/>
    <sheet name="OTHER" sheetId="4" r:id="rId5"/>
  </sheets>
  <externalReferences>
    <externalReference r:id="rId6"/>
  </externalReferences>
  <definedNames>
    <definedName name="DRate">'Inputs-Outputs'!$J$6</definedName>
    <definedName name="Life">'Inputs-Outputs'!$G$6</definedName>
    <definedName name="Tax">'Inputs-Outputs'!$J$5</definedName>
  </definedNames>
  <calcPr calcId="125725"/>
</workbook>
</file>

<file path=xl/calcChain.xml><?xml version="1.0" encoding="utf-8"?>
<calcChain xmlns="http://schemas.openxmlformats.org/spreadsheetml/2006/main">
  <c r="I150" i="6"/>
  <c r="I149"/>
  <c r="I148"/>
  <c r="I147"/>
  <c r="I146"/>
  <c r="I145"/>
  <c r="I144"/>
  <c r="I143"/>
  <c r="I142"/>
  <c r="I141"/>
  <c r="I140"/>
  <c r="H58" i="3"/>
  <c r="B58"/>
  <c r="B24" i="1"/>
  <c r="B25"/>
  <c r="B26"/>
  <c r="B27"/>
  <c r="B28"/>
  <c r="B29"/>
  <c r="B30"/>
  <c r="B31"/>
  <c r="B23"/>
  <c r="G130" i="6"/>
  <c r="G124"/>
  <c r="G123"/>
  <c r="G122"/>
  <c r="G121"/>
  <c r="G120"/>
  <c r="G125" s="1"/>
  <c r="J124" s="1"/>
  <c r="J126" s="1"/>
  <c r="E77"/>
  <c r="I64" s="1"/>
  <c r="F75"/>
  <c r="F77" s="1"/>
  <c r="J64" s="1"/>
  <c r="E60"/>
  <c r="I41" s="1"/>
  <c r="D29"/>
  <c r="D28"/>
  <c r="G18"/>
  <c r="K30" i="3" l="1"/>
  <c r="L30"/>
  <c r="K31"/>
  <c r="L31"/>
  <c r="K32"/>
  <c r="L32"/>
  <c r="E23" i="2"/>
  <c r="F23"/>
  <c r="G23"/>
  <c r="H23"/>
  <c r="I23"/>
  <c r="J23"/>
  <c r="L23"/>
  <c r="D23"/>
  <c r="K55" i="3"/>
  <c r="H52"/>
  <c r="K52"/>
  <c r="K58" s="1"/>
  <c r="E55"/>
  <c r="E52"/>
  <c r="E58" s="1"/>
  <c r="B52"/>
  <c r="E22" i="2"/>
  <c r="F22"/>
  <c r="G22"/>
  <c r="H22"/>
  <c r="I22"/>
  <c r="J22"/>
  <c r="L22"/>
  <c r="M22"/>
  <c r="D22"/>
  <c r="L15"/>
  <c r="L19" s="1"/>
  <c r="M15"/>
  <c r="M19" s="1"/>
  <c r="E14"/>
  <c r="F14"/>
  <c r="G14"/>
  <c r="H14"/>
  <c r="I14"/>
  <c r="J14"/>
  <c r="K14"/>
  <c r="L14"/>
  <c r="M14"/>
  <c r="D14"/>
  <c r="E13"/>
  <c r="F13"/>
  <c r="G13"/>
  <c r="H13"/>
  <c r="I13"/>
  <c r="J13"/>
  <c r="K13"/>
  <c r="L13"/>
  <c r="L16" s="1"/>
  <c r="M13"/>
  <c r="M16" s="1"/>
  <c r="D13"/>
  <c r="E43" i="3"/>
  <c r="E40"/>
  <c r="D7" i="2"/>
  <c r="K22" s="1"/>
  <c r="H46" i="3"/>
  <c r="B46"/>
  <c r="M18" i="2" l="1"/>
  <c r="M20" s="1"/>
  <c r="M17"/>
  <c r="L18"/>
  <c r="L20" s="1"/>
  <c r="L24" s="1"/>
  <c r="L17"/>
  <c r="G21" i="3"/>
  <c r="G20"/>
  <c r="G19"/>
  <c r="C22"/>
  <c r="C21"/>
  <c r="C20"/>
  <c r="C19"/>
  <c r="D5" i="2"/>
  <c r="D4"/>
  <c r="D3"/>
  <c r="B15" i="1"/>
  <c r="T27" i="3" l="1"/>
  <c r="V27"/>
  <c r="X27"/>
  <c r="Z27"/>
  <c r="S27"/>
  <c r="U27"/>
  <c r="W27"/>
  <c r="Y27"/>
  <c r="L7" i="4"/>
  <c r="C30" i="1"/>
  <c r="D148" i="6" s="1"/>
  <c r="P26" i="3"/>
  <c r="P27"/>
  <c r="Q27" s="1"/>
  <c r="C26" s="1"/>
  <c r="S26"/>
  <c r="U26"/>
  <c r="W26"/>
  <c r="Y26"/>
  <c r="Q26"/>
  <c r="R26"/>
  <c r="D26" s="1"/>
  <c r="T26"/>
  <c r="V26"/>
  <c r="X26"/>
  <c r="Z26"/>
  <c r="L20" i="4"/>
  <c r="L27" s="1"/>
  <c r="L9"/>
  <c r="P32" i="3"/>
  <c r="P33"/>
  <c r="P30"/>
  <c r="P29"/>
  <c r="K48"/>
  <c r="E48"/>
  <c r="F26"/>
  <c r="H26"/>
  <c r="J26"/>
  <c r="L26"/>
  <c r="G26"/>
  <c r="E26"/>
  <c r="I26"/>
  <c r="K26"/>
  <c r="E36"/>
  <c r="R27" l="1"/>
  <c r="S32"/>
  <c r="U32"/>
  <c r="W32"/>
  <c r="Y32"/>
  <c r="Q32"/>
  <c r="R32"/>
  <c r="T32"/>
  <c r="V32"/>
  <c r="X32"/>
  <c r="Z32"/>
  <c r="S33"/>
  <c r="E31" s="1"/>
  <c r="U33"/>
  <c r="G31" s="1"/>
  <c r="W33"/>
  <c r="I31" s="1"/>
  <c r="Y33"/>
  <c r="Q33"/>
  <c r="C31" s="1"/>
  <c r="R33"/>
  <c r="D31" s="1"/>
  <c r="T33"/>
  <c r="F31" s="1"/>
  <c r="V33"/>
  <c r="H31" s="1"/>
  <c r="X33"/>
  <c r="J31" s="1"/>
  <c r="Z33"/>
  <c r="S30"/>
  <c r="E30" s="1"/>
  <c r="E32" s="1"/>
  <c r="F15" i="2" s="1"/>
  <c r="U30" i="3"/>
  <c r="G30" s="1"/>
  <c r="G32" s="1"/>
  <c r="H15" i="2" s="1"/>
  <c r="W30" i="3"/>
  <c r="I30" s="1"/>
  <c r="I32" s="1"/>
  <c r="J15" i="2" s="1"/>
  <c r="Y30" i="3"/>
  <c r="Q30"/>
  <c r="C30" s="1"/>
  <c r="R30"/>
  <c r="D30" s="1"/>
  <c r="D32" s="1"/>
  <c r="E15" i="2" s="1"/>
  <c r="E16" s="1"/>
  <c r="T30" i="3"/>
  <c r="F30" s="1"/>
  <c r="F32" s="1"/>
  <c r="G15" i="2" s="1"/>
  <c r="V30" i="3"/>
  <c r="H30" s="1"/>
  <c r="H32" s="1"/>
  <c r="I15" i="2" s="1"/>
  <c r="X30" i="3"/>
  <c r="J30" s="1"/>
  <c r="J32" s="1"/>
  <c r="K15" i="2" s="1"/>
  <c r="Z30" i="3"/>
  <c r="T29"/>
  <c r="X29"/>
  <c r="Z29"/>
  <c r="R29"/>
  <c r="V29"/>
  <c r="Y29"/>
  <c r="Q29"/>
  <c r="U29"/>
  <c r="W29"/>
  <c r="S29"/>
  <c r="C32"/>
  <c r="D15" i="2" s="1"/>
  <c r="D19" s="1"/>
  <c r="M26" i="3"/>
  <c r="D16" i="2" l="1"/>
  <c r="M30" i="3"/>
  <c r="K49" s="1"/>
  <c r="K50" s="1"/>
  <c r="K53" s="1"/>
  <c r="K54" s="1"/>
  <c r="K56" s="1"/>
  <c r="K59" s="1"/>
  <c r="K60" s="1"/>
  <c r="M31"/>
  <c r="G19" i="2"/>
  <c r="G16"/>
  <c r="J19"/>
  <c r="J16"/>
  <c r="J17" s="1"/>
  <c r="J18" s="1"/>
  <c r="J20" s="1"/>
  <c r="J24" s="1"/>
  <c r="F16"/>
  <c r="F19"/>
  <c r="K19"/>
  <c r="K16"/>
  <c r="K17" s="1"/>
  <c r="K18" s="1"/>
  <c r="K20" s="1"/>
  <c r="I19"/>
  <c r="I16"/>
  <c r="I17" s="1"/>
  <c r="I18" s="1"/>
  <c r="I20" s="1"/>
  <c r="I24" s="1"/>
  <c r="H19"/>
  <c r="H16"/>
  <c r="H17" s="1"/>
  <c r="H18" s="1"/>
  <c r="H20" s="1"/>
  <c r="H24" s="1"/>
  <c r="E19"/>
  <c r="E37" i="3"/>
  <c r="E38" s="1"/>
  <c r="E41" s="1"/>
  <c r="E42" s="1"/>
  <c r="E44" s="1"/>
  <c r="D6" i="2" s="1"/>
  <c r="D8" s="1"/>
  <c r="E49" i="3"/>
  <c r="E50" s="1"/>
  <c r="E53" s="1"/>
  <c r="E54" s="1"/>
  <c r="E56" s="1"/>
  <c r="E59" s="1"/>
  <c r="E60" s="1"/>
  <c r="K62" s="1"/>
  <c r="F17" i="2"/>
  <c r="F18" s="1"/>
  <c r="F20" s="1"/>
  <c r="F24" s="1"/>
  <c r="E17"/>
  <c r="E18" s="1"/>
  <c r="E20" s="1"/>
  <c r="E24" s="1"/>
  <c r="G17"/>
  <c r="G18" s="1"/>
  <c r="G20" s="1"/>
  <c r="G24" s="1"/>
  <c r="D17"/>
  <c r="D18" s="1"/>
  <c r="D20" s="1"/>
  <c r="D24" s="1"/>
  <c r="C7" i="4" l="1"/>
  <c r="C20" s="1"/>
  <c r="C27" s="1"/>
  <c r="C21" i="1"/>
  <c r="D139" i="6" s="1"/>
  <c r="F7" i="4"/>
  <c r="C24" i="1"/>
  <c r="D142" i="6" s="1"/>
  <c r="H7" i="4"/>
  <c r="C26" i="1"/>
  <c r="D144" i="6" s="1"/>
  <c r="I7" i="4"/>
  <c r="C27" i="1"/>
  <c r="D145" i="6" s="1"/>
  <c r="J7" i="4"/>
  <c r="C28" i="1"/>
  <c r="D146" i="6" s="1"/>
  <c r="G7" i="4"/>
  <c r="C25" i="1"/>
  <c r="D143" i="6" s="1"/>
  <c r="E144" s="1"/>
  <c r="D7" i="4"/>
  <c r="C22" i="1"/>
  <c r="D140" i="6" s="1"/>
  <c r="E7" i="4"/>
  <c r="C23" i="1"/>
  <c r="D141" i="6" s="1"/>
  <c r="E142" s="1"/>
  <c r="E20" i="4"/>
  <c r="E27" s="1"/>
  <c r="E9"/>
  <c r="K23" i="2"/>
  <c r="K24" s="1"/>
  <c r="M23"/>
  <c r="M24" s="1"/>
  <c r="D20" i="4"/>
  <c r="D9"/>
  <c r="G20"/>
  <c r="G27" s="1"/>
  <c r="G9"/>
  <c r="F20"/>
  <c r="F27" s="1"/>
  <c r="F9"/>
  <c r="E141" i="6" l="1"/>
  <c r="E140"/>
  <c r="E146"/>
  <c r="E145"/>
  <c r="E143"/>
  <c r="D22" i="4"/>
  <c r="D27"/>
  <c r="D29" s="1"/>
  <c r="K7"/>
  <c r="K9" s="1"/>
  <c r="C29" i="1"/>
  <c r="D147" i="6" s="1"/>
  <c r="E148" s="1"/>
  <c r="J9" i="4"/>
  <c r="J20"/>
  <c r="J27" s="1"/>
  <c r="I9"/>
  <c r="I20"/>
  <c r="I27" s="1"/>
  <c r="H9"/>
  <c r="H20"/>
  <c r="H27" s="1"/>
  <c r="M7"/>
  <c r="M20" s="1"/>
  <c r="M27" s="1"/>
  <c r="C31" i="1"/>
  <c r="D149" i="6" s="1"/>
  <c r="E149" s="1"/>
  <c r="K20" i="4"/>
  <c r="K27" s="1"/>
  <c r="M9"/>
  <c r="E147" i="6" l="1"/>
  <c r="E150" s="1"/>
  <c r="F21" i="1"/>
  <c r="E22" i="4"/>
  <c r="D23"/>
  <c r="F20" i="1"/>
  <c r="F22"/>
  <c r="G22" s="1"/>
  <c r="E29" i="4"/>
  <c r="D30"/>
  <c r="N9"/>
  <c r="F12" s="1"/>
  <c r="F14"/>
  <c r="V21" i="1" l="1"/>
  <c r="G21"/>
  <c r="F25"/>
  <c r="G20"/>
  <c r="E30" i="4"/>
  <c r="F29"/>
  <c r="E23"/>
  <c r="F22"/>
  <c r="G22" l="1"/>
  <c r="F23"/>
  <c r="F30"/>
  <c r="G29"/>
  <c r="H22" l="1"/>
  <c r="G23"/>
  <c r="H29"/>
  <c r="G30"/>
  <c r="H30" l="1"/>
  <c r="I29"/>
  <c r="I22"/>
  <c r="H23"/>
  <c r="J22" l="1"/>
  <c r="I23"/>
  <c r="J29"/>
  <c r="I30"/>
  <c r="J30" l="1"/>
  <c r="K29"/>
  <c r="K22"/>
  <c r="J23"/>
  <c r="L22" l="1"/>
  <c r="K23"/>
  <c r="K30"/>
  <c r="L29"/>
  <c r="L23" l="1"/>
  <c r="M22"/>
  <c r="M23" s="1"/>
  <c r="L30"/>
  <c r="M29"/>
  <c r="M30" s="1"/>
  <c r="C30" s="1"/>
  <c r="F24" i="1" s="1"/>
  <c r="C23" i="4" l="1"/>
  <c r="F23" i="1" s="1"/>
</calcChain>
</file>

<file path=xl/sharedStrings.xml><?xml version="1.0" encoding="utf-8"?>
<sst xmlns="http://schemas.openxmlformats.org/spreadsheetml/2006/main" count="222" uniqueCount="148">
  <si>
    <t>Original Cost</t>
  </si>
  <si>
    <t>Old</t>
  </si>
  <si>
    <t>New</t>
  </si>
  <si>
    <t>Expected Useful Life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</si>
  <si>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</si>
  <si>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</si>
  <si>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</si>
  <si>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</si>
  <si>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</si>
  <si>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</si>
  <si>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</si>
  <si>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</si>
  <si>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</si>
  <si>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</si>
  <si>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</si>
  <si>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</si>
  <si>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</si>
  <si>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</si>
  <si>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</si>
  <si>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</si>
  <si>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</si>
  <si>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</si>
  <si>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</si>
  <si>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</si>
  <si>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</si>
  <si>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</si>
  <si>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</si>
  <si>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</si>
  <si>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</si>
  <si>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</si>
  <si>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</si>
  <si>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</si>
  <si>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</si>
  <si>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</si>
  <si>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</si>
  <si>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</si>
  <si>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</si>
  <si>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</si>
  <si>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</si>
  <si>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</si>
  <si>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</si>
  <si>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</si>
  <si>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</si>
  <si>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</si>
  <si>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</si>
  <si>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</si>
  <si>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</si>
  <si>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</si>
  <si>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</si>
  <si>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</si>
  <si>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</si>
  <si>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</si>
  <si>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</si>
  <si>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</si>
  <si>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</si>
  <si>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</si>
  <si>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</si>
  <si>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</si>
  <si>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</si>
  <si>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</si>
  <si>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</si>
  <si>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</si>
  <si>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</si>
  <si>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</si>
  <si>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</si>
  <si>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</si>
  <si>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</si>
  <si>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</si>
  <si>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</si>
  <si>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</si>
  <si>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</si>
  <si>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</si>
  <si>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</si>
  <si>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</si>
  <si>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</si>
  <si>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</si>
  <si>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</si>
  <si>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</si>
  <si>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</si>
  <si>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</si>
  <si>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</si>
  <si>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</si>
  <si>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</si>
  <si>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SL</t>
  </si>
  <si>
    <t>5-Year</t>
  </si>
  <si>
    <t>7-Year</t>
  </si>
  <si>
    <t>10-Year</t>
  </si>
  <si>
    <t>OLD</t>
  </si>
  <si>
    <t>NEW</t>
  </si>
  <si>
    <t>MIRR:</t>
  </si>
  <si>
    <t>PB: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</si>
  <si>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</si>
  <si>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</si>
  <si>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</si>
  <si>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</si>
  <si>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</si>
  <si>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</si>
  <si>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</si>
  <si>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</si>
  <si>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</si>
  <si>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</si>
  <si>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</si>
  <si>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</si>
  <si>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</si>
  <si>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</si>
  <si>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</si>
  <si>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</si>
  <si>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</si>
  <si>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</si>
  <si>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</si>
  <si>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</si>
  <si>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</si>
  <si>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</si>
  <si>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</si>
  <si>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</si>
  <si>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</si>
  <si>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</si>
  <si>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</si>
  <si>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</si>
  <si>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</si>
  <si>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</si>
  <si>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</si>
  <si>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</si>
  <si>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</si>
  <si>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</si>
  <si>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</si>
  <si>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</si>
  <si>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</si>
  <si>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</si>
  <si>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</si>
  <si>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Step 2:</t>
  </si>
  <si>
    <t>Step 3:</t>
  </si>
  <si>
    <t>Function:</t>
  </si>
  <si>
    <t xml:space="preserve">The MIRR for our model is not so easy to find, since it has to work for </t>
  </si>
  <si>
    <t xml:space="preserve">   up to 10 years of cash flows -- but the MIRR formula would</t>
  </si>
  <si>
    <t xml:space="preserve">   assume a project life of 10 years even if it isn't</t>
  </si>
  <si>
    <t>Low IRR's UNDERSTATE the true value of the project</t>
  </si>
  <si>
    <t>High IRR's OVERSTATE the true value of the project</t>
  </si>
  <si>
    <t xml:space="preserve">  Using Formula</t>
  </si>
  <si>
    <t xml:space="preserve">  Using direct calculation</t>
  </si>
  <si>
    <t>DPP:</t>
  </si>
  <si>
    <t>Check cash flows for more than one sign change:</t>
  </si>
  <si>
    <t/>
  </si>
  <si>
    <t>Testing Area</t>
  </si>
  <si>
    <t>Sum</t>
  </si>
  <si>
    <t>If the sum above is more than 1, then there are multiple sign changes and</t>
  </si>
  <si>
    <t>therefore multiple IRRs.</t>
  </si>
  <si>
    <t>Cell below tests whether there are multiple sign changes in the cash flows or whether IRR &lt; Drate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</si>
</sst>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8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9" fontId="7" fillId="0" borderId="0" xfId="2" applyFont="1"/>
    <xf numFmtId="42" fontId="0" fillId="0" borderId="0" xfId="0" applyNumberFormat="1"/>
    <xf numFmtId="41" fontId="0" fillId="0" borderId="19" xfId="0" applyNumberForma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2" fillId="0" borderId="0" xfId="0" applyNumberFormat="1" applyFont="1"/>
    <xf numFmtId="42" fontId="2" fillId="0" borderId="0" xfId="0" applyNumberFormat="1" applyFont="1"/>
    <xf numFmtId="0" fontId="0" fillId="0" borderId="0" xfId="0" quotePrefix="1" applyBorder="1"/>
    <xf numFmtId="0" fontId="9" fillId="0" borderId="0" xfId="0" applyFont="1" applyAlignment="1">
      <alignment horizontal="center"/>
    </xf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10" fontId="0" fillId="4" borderId="30" xfId="0" applyNumberFormat="1" applyFill="1" applyBorder="1"/>
    <xf numFmtId="4" fontId="0" fillId="0" borderId="0" xfId="0" applyNumberFormat="1"/>
    <xf numFmtId="3" fontId="0" fillId="0" borderId="0" xfId="0" applyNumberFormat="1"/>
    <xf numFmtId="0" fontId="2" fillId="0" borderId="0" xfId="0" quotePrefix="1" applyFont="1" applyAlignment="1">
      <alignment horizontal="center"/>
    </xf>
    <xf numFmtId="43" fontId="0" fillId="0" borderId="0" xfId="0" applyNumberFormat="1"/>
    <xf numFmtId="43" fontId="0" fillId="0" borderId="0" xfId="1" applyFont="1"/>
    <xf numFmtId="9" fontId="0" fillId="0" borderId="0" xfId="2" applyFont="1"/>
    <xf numFmtId="44" fontId="0" fillId="0" borderId="0" xfId="3" applyFont="1"/>
    <xf numFmtId="8" fontId="2" fillId="0" borderId="0" xfId="0" applyNumberFormat="1" applyFont="1"/>
    <xf numFmtId="44" fontId="0" fillId="0" borderId="0" xfId="0" applyNumberFormat="1"/>
    <xf numFmtId="10" fontId="0" fillId="0" borderId="0" xfId="2" applyNumberFormat="1" applyFont="1"/>
    <xf numFmtId="8" fontId="0" fillId="0" borderId="0" xfId="3" applyNumberFormat="1" applyFont="1"/>
    <xf numFmtId="0" fontId="2" fillId="0" borderId="0" xfId="0" applyFont="1" applyAlignment="1">
      <alignment horizontal="right"/>
    </xf>
    <xf numFmtId="165" fontId="0" fillId="0" borderId="0" xfId="3" applyNumberFormat="1" applyFont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41" fontId="10" fillId="0" borderId="0" xfId="0" applyNumberFormat="1" applyFont="1"/>
    <xf numFmtId="168" fontId="0" fillId="0" borderId="0" xfId="3" applyNumberFormat="1" applyFont="1"/>
    <xf numFmtId="44" fontId="0" fillId="0" borderId="19" xfId="3" applyFont="1" applyBorder="1"/>
    <xf numFmtId="41" fontId="0" fillId="0" borderId="0" xfId="0" applyNumberFormat="1"/>
    <xf numFmtId="0" fontId="0" fillId="0" borderId="19" xfId="0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30" xfId="0" applyNumberFormat="1" applyBorder="1"/>
    <xf numFmtId="168" fontId="2" fillId="0" borderId="0" xfId="3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71062992125967"/>
          <c:y val="5.6030183727034118E-2"/>
          <c:w val="0.82428237095363011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[1]IRR!$I$64</c:f>
              <c:strCache>
                <c:ptCount val="1"/>
                <c:pt idx="0">
                  <c:v>165.0408877</c:v>
                </c:pt>
              </c:strCache>
            </c:strRef>
          </c:tx>
          <c:marker>
            <c:symbol val="none"/>
          </c:marker>
          <c:xVal>
            <c:numRef>
              <c:f>[1]IRR!$H$65:$H$80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[1]IRR!$I$65:$I$80</c:f>
              <c:numCache>
                <c:formatCode>General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[1]IRR!$J$64</c:f>
              <c:strCache>
                <c:ptCount val="1"/>
                <c:pt idx="0">
                  <c:v>465.2213756</c:v>
                </c:pt>
              </c:strCache>
            </c:strRef>
          </c:tx>
          <c:marker>
            <c:symbol val="none"/>
          </c:marker>
          <c:xVal>
            <c:numRef>
              <c:f>[1]IRR!$H$65:$H$80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[1]IRR!$J$65:$J$80</c:f>
              <c:numCache>
                <c:formatCode>General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118809728"/>
        <c:axId val="118811264"/>
      </c:scatterChart>
      <c:valAx>
        <c:axId val="118809728"/>
        <c:scaling>
          <c:orientation val="minMax"/>
        </c:scaling>
        <c:axPos val="b"/>
        <c:numFmt formatCode="General" sourceLinked="1"/>
        <c:tickLblPos val="nextTo"/>
        <c:crossAx val="118811264"/>
        <c:crosses val="autoZero"/>
        <c:crossBetween val="midCat"/>
      </c:valAx>
      <c:valAx>
        <c:axId val="118811264"/>
        <c:scaling>
          <c:orientation val="minMax"/>
        </c:scaling>
        <c:axPos val="l"/>
        <c:majorGridlines/>
        <c:numFmt formatCode="General" sourceLinked="1"/>
        <c:tickLblPos val="nextTo"/>
        <c:crossAx val="11880972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IRR!$H$42:$H$57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IRR!$I$42:$I$57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136926720"/>
        <c:axId val="136928256"/>
      </c:scatterChart>
      <c:valAx>
        <c:axId val="136926720"/>
        <c:scaling>
          <c:orientation val="minMax"/>
        </c:scaling>
        <c:axPos val="b"/>
        <c:numFmt formatCode="0%" sourceLinked="1"/>
        <c:tickLblPos val="nextTo"/>
        <c:crossAx val="136928256"/>
        <c:crosses val="autoZero"/>
        <c:crossBetween val="midCat"/>
      </c:valAx>
      <c:valAx>
        <c:axId val="13692825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1369267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175046</xdr:colOff>
      <xdr:row>81</xdr:row>
      <xdr:rowOff>55463</xdr:rowOff>
    </xdr:from>
    <xdr:to>
      <xdr:col>8</xdr:col>
      <xdr:colOff>4928</xdr:colOff>
      <xdr:row>96</xdr:row>
      <xdr:rowOff>36413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161192</xdr:colOff>
      <xdr:row>41</xdr:row>
      <xdr:rowOff>87922</xdr:rowOff>
    </xdr:from>
    <xdr:to>
      <xdr:col>16</xdr:col>
      <xdr:colOff>293077</xdr:colOff>
      <xdr:row>55</xdr:row>
      <xdr:rowOff>161191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0.33056</cdr:x>
      <cdr:y>0.46759</cdr:y>
    </cdr:from>
    <cdr:to>
      <cdr:x>0.55278</cdr:x>
      <cdr:y>0.56481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1300" y="1282700"/>
          <a:ext cx="1016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B</a:t>
          </a:r>
        </a:p>
      </cdr:txBody>
    </cdr:sp>
  </cdr:relSizeAnchor>
  <cdr:relSizeAnchor xmlns:cdr="http://schemas.openxmlformats.org/drawingml/2006/chartDrawing">
    <cdr:from>
      <cdr:x>0.14722</cdr:x>
      <cdr:y>0.56944</cdr:y>
    </cdr:from>
    <cdr:to>
      <cdr:x>0.30556</cdr:x>
      <cdr:y>0.63889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3100" y="1562100"/>
          <a:ext cx="7239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1\web_data\faculty.bus.olemiss.edu\dhawley\FIN531\Spreadsheets\CapBud%20Model%20Setup%20Phase%203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-Outputs"/>
      <sheetName val="CF Detail"/>
      <sheetName val="Depn-ATSV"/>
      <sheetName val="PAYBACK"/>
      <sheetName val="IRR"/>
    </sheetNames>
    <sheetDataSet>
      <sheetData sheetId="0"/>
      <sheetData sheetId="1"/>
      <sheetData sheetId="2"/>
      <sheetData sheetId="3"/>
      <sheetData sheetId="4">
        <row r="64">
          <cell r="I64">
            <v>165.04088766912309</v>
          </cell>
          <cell r="J64">
            <v>465.22137564246623</v>
          </cell>
        </row>
        <row r="65">
          <cell r="H65">
            <v>0</v>
          </cell>
          <cell r="I65">
            <v>560</v>
          </cell>
          <cell r="J65">
            <v>2700</v>
          </cell>
        </row>
        <row r="66">
          <cell r="H66">
            <v>0.02</v>
          </cell>
          <cell r="I66">
            <v>470.76643674407478</v>
          </cell>
          <cell r="J66">
            <v>2116.223583029192</v>
          </cell>
        </row>
        <row r="67">
          <cell r="H67">
            <v>0.04</v>
          </cell>
          <cell r="I67">
            <v>387.1129278292342</v>
          </cell>
          <cell r="J67">
            <v>1612.0056966346301</v>
          </cell>
        </row>
        <row r="68">
          <cell r="H68">
            <v>0.06</v>
          </cell>
          <cell r="I68">
            <v>308.55455441266577</v>
          </cell>
          <cell r="J68">
            <v>1175.2147611455002</v>
          </cell>
        </row>
        <row r="69">
          <cell r="H69">
            <v>0.08</v>
          </cell>
          <cell r="I69">
            <v>234.65923223281015</v>
          </cell>
          <cell r="J69">
            <v>795.76087656511527</v>
          </cell>
        </row>
        <row r="70">
          <cell r="H70">
            <v>0.1</v>
          </cell>
          <cell r="I70">
            <v>165.04088766912309</v>
          </cell>
          <cell r="J70">
            <v>465.22137564246623</v>
          </cell>
        </row>
        <row r="71">
          <cell r="H71">
            <v>0.12</v>
          </cell>
          <cell r="I71">
            <v>99.353642525249597</v>
          </cell>
          <cell r="J71">
            <v>176.54045701654013</v>
          </cell>
        </row>
        <row r="72">
          <cell r="H72">
            <v>0.14000000000000001</v>
          </cell>
          <cell r="I72">
            <v>37.286840899745812</v>
          </cell>
          <cell r="J72">
            <v>-76.212782159823291</v>
          </cell>
        </row>
        <row r="73">
          <cell r="H73">
            <v>0.16</v>
          </cell>
          <cell r="I73">
            <v>-21.439218251498232</v>
          </cell>
          <cell r="J73">
            <v>-298.04006726805505</v>
          </cell>
        </row>
        <row r="74">
          <cell r="H74">
            <v>0.18</v>
          </cell>
          <cell r="I74">
            <v>-77.076954968626524</v>
          </cell>
          <cell r="J74">
            <v>-493.17288527234791</v>
          </cell>
        </row>
        <row r="75">
          <cell r="H75">
            <v>0.2</v>
          </cell>
          <cell r="I75">
            <v>-129.85468106995836</v>
          </cell>
          <cell r="J75">
            <v>-665.20204618198431</v>
          </cell>
        </row>
        <row r="76">
          <cell r="H76">
            <v>0.22</v>
          </cell>
          <cell r="I76">
            <v>-179.97934850060392</v>
          </cell>
          <cell r="J76">
            <v>-817.18368556081828</v>
          </cell>
        </row>
        <row r="77">
          <cell r="H77">
            <v>0.24</v>
          </cell>
          <cell r="I77">
            <v>-227.63893697022309</v>
          </cell>
          <cell r="J77">
            <v>-951.72630021118266</v>
          </cell>
        </row>
        <row r="78">
          <cell r="H78">
            <v>0.26</v>
          </cell>
          <cell r="I78">
            <v>-273.0045340541235</v>
          </cell>
          <cell r="J78">
            <v>-1071.0624562332694</v>
          </cell>
        </row>
        <row r="79">
          <cell r="H79">
            <v>0.28000000000000003</v>
          </cell>
          <cell r="I79">
            <v>-316.23215228319168</v>
          </cell>
          <cell r="J79">
            <v>-1177.1080650505612</v>
          </cell>
        </row>
        <row r="80">
          <cell r="H80">
            <v>0.3</v>
          </cell>
          <cell r="I80">
            <v>-357.4643206308765</v>
          </cell>
          <cell r="J80">
            <v>-1271.5115402647689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showGridLines="0" tabSelected="1" workbookViewId="0">
      <selection activeCell="L20" sqref="L20"/>
    </sheetView>
  </sheetViews>
  <sheetFormatPr defaultColWidth="8.7109375" defaultRowHeight="15"/>
  <cols>
    <col min="1" max="1" width="4.7109375" style="1" customWidth="1"/>
    <col min="2" max="2" width="6.140625" style="1" customWidth="1"/>
    <col min="3" max="3" width="11.42578125" style="1" customWidth="1"/>
    <col min="4" max="4" width="3.140625" style="23" customWidth="1"/>
    <col min="5" max="5" width="20" style="23" customWidth="1"/>
    <col min="6" max="7" width="14" style="1" customWidth="1"/>
    <col min="8" max="8" width="4.140625" style="1" customWidth="1"/>
    <col min="9" max="9" width="21.140625" style="1" customWidth="1"/>
    <col min="10" max="11" width="8.7109375" style="1"/>
    <col min="12" max="18" width="8.7109375" style="23"/>
    <col min="19" max="16384" width="8.7109375" style="1"/>
  </cols>
  <sheetData>
    <row r="1" spans="2:23" ht="8.4499999999999993" customHeight="1" thickBot="1"/>
    <row r="2" spans="2:23" ht="26.45" customHeight="1" thickBot="1">
      <c r="B2" s="88" t="s">
        <v>23</v>
      </c>
      <c r="C2" s="89"/>
      <c r="D2" s="89"/>
      <c r="E2" s="89"/>
      <c r="F2" s="89"/>
      <c r="G2" s="89"/>
      <c r="H2" s="89"/>
      <c r="I2" s="89"/>
      <c r="J2" s="90"/>
    </row>
    <row r="3" spans="2:23" ht="6.95" customHeight="1" thickBot="1"/>
    <row r="4" spans="2:23" ht="20.45" customHeight="1" thickBot="1">
      <c r="B4" s="91" t="s">
        <v>22</v>
      </c>
      <c r="C4" s="93"/>
      <c r="D4" s="93"/>
      <c r="E4" s="93"/>
      <c r="F4" s="93" t="s">
        <v>1</v>
      </c>
      <c r="G4" s="92" t="s">
        <v>2</v>
      </c>
      <c r="I4" s="91" t="s">
        <v>24</v>
      </c>
      <c r="J4" s="92"/>
    </row>
    <row r="5" spans="2:23">
      <c r="B5" s="5" t="s">
        <v>0</v>
      </c>
      <c r="C5" s="12"/>
      <c r="D5" s="50"/>
      <c r="E5" s="50"/>
      <c r="F5" s="5">
        <v>50000</v>
      </c>
      <c r="G5" s="6">
        <v>100000</v>
      </c>
      <c r="I5" s="16" t="s">
        <v>11</v>
      </c>
      <c r="J5" s="18">
        <v>0.34</v>
      </c>
    </row>
    <row r="6" spans="2:23" ht="15.75" thickBot="1">
      <c r="B6" s="7" t="s">
        <v>3</v>
      </c>
      <c r="C6" s="13"/>
      <c r="D6" s="51"/>
      <c r="E6" s="51"/>
      <c r="F6" s="15"/>
      <c r="G6" s="8">
        <v>8</v>
      </c>
      <c r="I6" s="17" t="s">
        <v>12</v>
      </c>
      <c r="J6" s="19">
        <v>0.12</v>
      </c>
    </row>
    <row r="7" spans="2:23">
      <c r="B7" s="7" t="s">
        <v>4</v>
      </c>
      <c r="C7" s="13"/>
      <c r="D7" s="51"/>
      <c r="E7" s="51"/>
      <c r="F7" s="7">
        <v>2</v>
      </c>
      <c r="G7" s="9"/>
    </row>
    <row r="8" spans="2:23">
      <c r="B8" s="7" t="s">
        <v>5</v>
      </c>
      <c r="C8" s="13"/>
      <c r="D8" s="51"/>
      <c r="E8" s="51"/>
      <c r="F8" s="15"/>
      <c r="G8" s="8">
        <v>10000</v>
      </c>
    </row>
    <row r="9" spans="2:23">
      <c r="B9" s="7" t="s">
        <v>6</v>
      </c>
      <c r="C9" s="13"/>
      <c r="D9" s="51"/>
      <c r="E9" s="51"/>
      <c r="F9" s="7">
        <v>8000</v>
      </c>
      <c r="G9" s="8">
        <v>3000</v>
      </c>
      <c r="V9" s="23" t="s">
        <v>83</v>
      </c>
      <c r="W9" s="23" t="s">
        <v>27</v>
      </c>
    </row>
    <row r="10" spans="2:23">
      <c r="B10" s="7" t="s">
        <v>7</v>
      </c>
      <c r="C10" s="13"/>
      <c r="D10" s="51"/>
      <c r="E10" s="51"/>
      <c r="F10" s="7">
        <v>35000</v>
      </c>
      <c r="G10" s="8">
        <v>55000</v>
      </c>
      <c r="V10" s="23" t="s">
        <v>26</v>
      </c>
      <c r="W10" s="23" t="s">
        <v>84</v>
      </c>
    </row>
    <row r="11" spans="2:23">
      <c r="B11" s="7" t="s">
        <v>8</v>
      </c>
      <c r="C11" s="13"/>
      <c r="D11" s="51"/>
      <c r="E11" s="51"/>
      <c r="F11" s="7">
        <v>18000</v>
      </c>
      <c r="G11" s="8">
        <v>20000</v>
      </c>
      <c r="W11" s="23" t="s">
        <v>85</v>
      </c>
    </row>
    <row r="12" spans="2:23">
      <c r="B12" s="7" t="s">
        <v>9</v>
      </c>
      <c r="C12" s="13"/>
      <c r="D12" s="51"/>
      <c r="E12" s="51"/>
      <c r="F12" s="20" t="s">
        <v>26</v>
      </c>
      <c r="G12" s="103" t="s">
        <v>26</v>
      </c>
      <c r="W12" s="23" t="s">
        <v>86</v>
      </c>
    </row>
    <row r="13" spans="2:23">
      <c r="B13" s="7" t="s">
        <v>10</v>
      </c>
      <c r="C13" s="13"/>
      <c r="D13" s="51"/>
      <c r="E13" s="51"/>
      <c r="F13" s="20" t="s">
        <v>27</v>
      </c>
      <c r="G13" s="103" t="s">
        <v>27</v>
      </c>
    </row>
    <row r="14" spans="2:23">
      <c r="B14" s="7" t="s">
        <v>13</v>
      </c>
      <c r="C14" s="13"/>
      <c r="D14" s="51"/>
      <c r="E14" s="51"/>
      <c r="F14" s="7">
        <v>30000</v>
      </c>
      <c r="G14" s="9"/>
    </row>
    <row r="15" spans="2:23" ht="15.75" thickBot="1">
      <c r="B15" s="10" t="str">
        <f>"Expected Salvage Value at t="&amp;G6</f>
        <v>Expected Salvage Value at t=8</v>
      </c>
      <c r="C15" s="14"/>
      <c r="D15" s="52"/>
      <c r="E15" s="52"/>
      <c r="F15" s="10">
        <v>5000</v>
      </c>
      <c r="G15" s="11">
        <v>25000</v>
      </c>
    </row>
    <row r="16" spans="2:23" ht="15.75" thickBot="1"/>
    <row r="17" spans="1:23" ht="26.45" customHeight="1" thickBot="1">
      <c r="B17" s="88" t="s">
        <v>68</v>
      </c>
      <c r="C17" s="89"/>
      <c r="D17" s="89"/>
      <c r="E17" s="89"/>
      <c r="F17" s="89"/>
      <c r="G17" s="89"/>
      <c r="H17" s="89"/>
      <c r="I17" s="89"/>
      <c r="J17" s="90"/>
    </row>
    <row r="18" spans="1:23" ht="15.75" thickBot="1">
      <c r="B18" s="54"/>
      <c r="C18" s="54"/>
      <c r="D18" s="41"/>
      <c r="E18" s="54"/>
      <c r="F18" s="54"/>
    </row>
    <row r="19" spans="1:23" ht="20.100000000000001" customHeight="1">
      <c r="B19" s="94" t="s">
        <v>70</v>
      </c>
      <c r="C19" s="94"/>
      <c r="D19" s="53"/>
      <c r="E19" s="94" t="s">
        <v>79</v>
      </c>
      <c r="F19" s="94"/>
    </row>
    <row r="20" spans="1:23" ht="18" thickBot="1">
      <c r="B20" s="53" t="s">
        <v>72</v>
      </c>
      <c r="C20" s="53" t="s">
        <v>71</v>
      </c>
      <c r="D20" s="53"/>
      <c r="E20" s="23" t="s">
        <v>73</v>
      </c>
      <c r="F20" s="81">
        <f>NPV(DRate,C22:C31)+C21</f>
        <v>6130.4419819615141</v>
      </c>
      <c r="G20" s="101" t="str">
        <f>IF(F20&gt;0,"  Positive NPV implies ACCEPT project.","  Negative NPV implies REJECT project.")</f>
        <v xml:space="preserve">  Positive NPV implies ACCEPT project.</v>
      </c>
      <c r="H20" s="101"/>
      <c r="I20" s="101"/>
      <c r="J20" s="101"/>
      <c r="V20" s="23" t="s">
        <v>147</v>
      </c>
    </row>
    <row r="21" spans="1:23" ht="15.75" thickBot="1">
      <c r="B21" s="1">
        <v>0</v>
      </c>
      <c r="C21" s="1">
        <f>'CF Detail'!D8</f>
        <v>-79532.766666666663</v>
      </c>
      <c r="E21" s="23" t="s">
        <v>74</v>
      </c>
      <c r="F21" s="73">
        <f>IRR(C21:C31)</f>
        <v>0.14451346726924919</v>
      </c>
      <c r="G21" s="1" t="str">
        <f>IF(IRR!E150&gt;1,"  Caution: IRR CANNOT BE USED due to multiple sign changes in cash flows.",IF('Inputs-Outputs'!F21&gt;DRate,"  IRR &gt; Discount Rate implies ACCEPT project.","  IRR &lt; Discount Rate implies REJECT project."))</f>
        <v xml:space="preserve">  IRR &gt; Discount Rate implies ACCEPT project.</v>
      </c>
      <c r="V21" s="104">
        <f>IF(OR(IRR!E150&gt;1,'Inputs-Outputs'!F21&lt;DRate),1,0)</f>
        <v>0</v>
      </c>
    </row>
    <row r="22" spans="1:23">
      <c r="B22" s="1">
        <v>1</v>
      </c>
      <c r="C22" s="23">
        <f>'CF Detail'!D24</f>
        <v>20694.5</v>
      </c>
      <c r="E22" s="23" t="s">
        <v>75</v>
      </c>
      <c r="F22" s="73">
        <f>MIRR(C21:C31,DRate,DRate)</f>
        <v>0.13044400121268884</v>
      </c>
      <c r="G22" s="101" t="str">
        <f>IF(F22&gt;DRate,"  MIRR &gt; Discount Rate implies ACCEPT project.","   MIRR &lt; Discount Rate implies REJECT project.")</f>
        <v xml:space="preserve">  MIRR &gt; Discount Rate implies ACCEPT project.</v>
      </c>
      <c r="H22" s="101"/>
      <c r="I22" s="101"/>
      <c r="J22" s="101"/>
    </row>
    <row r="23" spans="1:23">
      <c r="A23" s="98">
        <v>2</v>
      </c>
      <c r="B23" s="1">
        <f>IF(A23&gt;Life,"",A23)</f>
        <v>2</v>
      </c>
      <c r="C23" s="23">
        <f>'CF Detail'!E24</f>
        <v>25733.3</v>
      </c>
      <c r="E23" s="23" t="s">
        <v>76</v>
      </c>
      <c r="F23" s="4" t="str">
        <f>OTHER!C23</f>
        <v>5 Years</v>
      </c>
    </row>
    <row r="24" spans="1:23">
      <c r="A24" s="98">
        <v>3</v>
      </c>
      <c r="B24" s="23">
        <f>IF(A24&gt;Life,"",A24)</f>
        <v>3</v>
      </c>
      <c r="C24" s="23">
        <f>'CF Detail'!F24</f>
        <v>16915.400000000001</v>
      </c>
      <c r="E24" s="23" t="s">
        <v>77</v>
      </c>
      <c r="F24" s="4" t="str">
        <f>OTHER!C30</f>
        <v>8 Years</v>
      </c>
    </row>
    <row r="25" spans="1:23" ht="15.75" thickBot="1">
      <c r="A25" s="98">
        <v>4</v>
      </c>
      <c r="B25" s="23">
        <f>IF(A25&gt;Life,"",A25)</f>
        <v>4</v>
      </c>
      <c r="C25" s="23">
        <f>'CF Detail'!G24</f>
        <v>14399.4</v>
      </c>
      <c r="E25" s="25" t="s">
        <v>78</v>
      </c>
      <c r="F25" s="100">
        <f>PMT(DRate,Life,0,-F20)</f>
        <v>498.42235202786748</v>
      </c>
    </row>
    <row r="26" spans="1:23">
      <c r="A26" s="98">
        <v>5</v>
      </c>
      <c r="B26" s="23">
        <f>IF(A26&gt;Life,"",A26)</f>
        <v>5</v>
      </c>
      <c r="C26" s="23">
        <f>'CF Detail'!H24</f>
        <v>11880</v>
      </c>
      <c r="E26" s="1"/>
    </row>
    <row r="27" spans="1:23">
      <c r="A27" s="98">
        <v>6</v>
      </c>
      <c r="B27" s="23">
        <f>IF(A27&gt;Life,"",A27)</f>
        <v>6</v>
      </c>
      <c r="C27" s="23">
        <f>'CF Detail'!I24</f>
        <v>11880</v>
      </c>
      <c r="E27" s="1"/>
    </row>
    <row r="28" spans="1:23">
      <c r="A28" s="98">
        <v>7</v>
      </c>
      <c r="B28" s="23">
        <f>IF(A28&gt;Life,"",A28)</f>
        <v>7</v>
      </c>
      <c r="C28" s="23">
        <f>'CF Detail'!J24</f>
        <v>11880</v>
      </c>
      <c r="E28" s="1"/>
    </row>
    <row r="29" spans="1:23">
      <c r="A29" s="98">
        <v>8</v>
      </c>
      <c r="B29" s="23">
        <f>IF(A29&gt;Life,"",A29)</f>
        <v>8</v>
      </c>
      <c r="C29" s="23">
        <f>'CF Detail'!K24</f>
        <v>18190.166666666668</v>
      </c>
    </row>
    <row r="30" spans="1:23">
      <c r="A30" s="98">
        <v>9</v>
      </c>
      <c r="B30" s="23" t="str">
        <f>IF(A30&gt;Life,"",A30)</f>
        <v/>
      </c>
      <c r="C30" s="23" t="str">
        <f>'CF Detail'!L24</f>
        <v/>
      </c>
      <c r="V30" s="23"/>
      <c r="W30" s="23"/>
    </row>
    <row r="31" spans="1:23">
      <c r="A31" s="98">
        <v>10</v>
      </c>
      <c r="B31" s="23" t="str">
        <f>IF(A31&gt;Life,"",A31)</f>
        <v/>
      </c>
      <c r="C31" s="23" t="str">
        <f>'CF Detail'!M24</f>
        <v/>
      </c>
    </row>
  </sheetData>
  <mergeCells count="8">
    <mergeCell ref="G20:J20"/>
    <mergeCell ref="G22:J22"/>
    <mergeCell ref="B2:J2"/>
    <mergeCell ref="I4:J4"/>
    <mergeCell ref="B4:G4"/>
    <mergeCell ref="B17:J17"/>
    <mergeCell ref="B19:C19"/>
    <mergeCell ref="E19:F19"/>
  </mergeCells>
  <conditionalFormatting sqref="F20">
    <cfRule type="cellIs" dxfId="5" priority="8" operator="lessThan">
      <formula>0</formula>
    </cfRule>
  </conditionalFormatting>
  <conditionalFormatting sqref="F21:F22">
    <cfRule type="cellIs" dxfId="4" priority="7" operator="lessThan">
      <formula>$J$6</formula>
    </cfRule>
  </conditionalFormatting>
  <conditionalFormatting sqref="G20:J20">
    <cfRule type="expression" dxfId="3" priority="6">
      <formula>$F$20&lt;0</formula>
    </cfRule>
  </conditionalFormatting>
  <conditionalFormatting sqref="G22:J22">
    <cfRule type="expression" dxfId="2" priority="5">
      <formula>$F$20&lt;0</formula>
    </cfRule>
  </conditionalFormatting>
  <conditionalFormatting sqref="G21">
    <cfRule type="expression" dxfId="1" priority="1">
      <formula>$V$21=1</formula>
    </cfRule>
    <cfRule type="expression" priority="2">
      <formula>$V$21=1</formula>
    </cfRule>
    <cfRule type="expression" dxfId="0" priority="3">
      <formula>"or(IRR!$E$150&gt;0,'Inputs-Outputs'!$F$21&lt;'Inputs-Outputs'!$J$6"</formula>
    </cfRule>
    <cfRule type="expression" priority="4">
      <formula>"or(IRR!$E$150&gt;1,'Inputs-Outputs'!$F$21&lt;'Inputs-Outputs'!$J$6)"</formula>
    </cfRule>
  </conditionalFormatting>
  <dataValidations count="4">
    <dataValidation type="list" allowBlank="1" showInputMessage="1" showErrorMessage="1" sqref="F12:G12">
      <formula1>$V$9:$V$10</formula1>
    </dataValidation>
    <dataValidation type="list" allowBlank="1" showInputMessage="1" showErrorMessage="1" sqref="F13:G13">
      <formula1>$W$9:$W$12</formula1>
    </dataValidation>
    <dataValidation type="whole" allowBlank="1" showInputMessage="1" showErrorMessage="1" errorTitle="Input Error" error="Enter a whole number between 1 and 10" promptTitle="Expect Life" prompt="Enter a whole number between 0 and 10" sqref="G6">
      <formula1>1</formula1>
      <formula2>10</formula2>
    </dataValidation>
    <dataValidation type="whole" allowBlank="1" showInputMessage="1" showErrorMessage="1" errorTitle="Input Error" error="Enter a whole number between 0 and 10" promptTitle="Years Owned" prompt="Input must be a whole number between 0 and 10" sqref="F7">
      <formula1>0</formula1>
      <formula2>10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showGridLines="0" workbookViewId="0">
      <selection activeCell="C28" sqref="C28"/>
    </sheetView>
  </sheetViews>
  <sheetFormatPr defaultColWidth="8.7109375" defaultRowHeight="15"/>
  <cols>
    <col min="1" max="1" width="3.85546875" style="1" customWidth="1"/>
    <col min="2" max="2" width="4.7109375" style="1" customWidth="1"/>
    <col min="3" max="3" width="28.42578125" style="1" customWidth="1"/>
    <col min="4" max="13" width="13.14062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1" t="s">
        <v>25</v>
      </c>
      <c r="C2" s="93"/>
      <c r="D2" s="93"/>
    </row>
    <row r="3" spans="2:13">
      <c r="B3" s="2" t="s">
        <v>15</v>
      </c>
      <c r="C3" s="1" t="s">
        <v>14</v>
      </c>
      <c r="D3" s="99">
        <f>-'Inputs-Outputs'!G5</f>
        <v>-100000</v>
      </c>
    </row>
    <row r="4" spans="2:13">
      <c r="B4" s="2" t="s">
        <v>15</v>
      </c>
      <c r="C4" s="1" t="s">
        <v>5</v>
      </c>
      <c r="D4" s="1">
        <f>-'Inputs-Outputs'!G8</f>
        <v>-10000</v>
      </c>
    </row>
    <row r="5" spans="2:13">
      <c r="B5" s="2" t="s">
        <v>16</v>
      </c>
      <c r="C5" s="1" t="s">
        <v>17</v>
      </c>
      <c r="D5" s="1">
        <f>+'Inputs-Outputs'!F14</f>
        <v>30000</v>
      </c>
    </row>
    <row r="6" spans="2:13">
      <c r="B6" s="2" t="s">
        <v>18</v>
      </c>
      <c r="C6" s="1" t="s">
        <v>19</v>
      </c>
      <c r="D6" s="1">
        <f>'Depn-ATSV'!E44</f>
        <v>-4532.7666666666682</v>
      </c>
    </row>
    <row r="7" spans="2:13" ht="17.25">
      <c r="B7" s="2" t="s">
        <v>18</v>
      </c>
      <c r="C7" s="3" t="s">
        <v>20</v>
      </c>
      <c r="D7" s="3">
        <f>'Inputs-Outputs'!F9-'Inputs-Outputs'!G9</f>
        <v>5000</v>
      </c>
    </row>
    <row r="8" spans="2:13">
      <c r="C8" s="67" t="s">
        <v>21</v>
      </c>
      <c r="D8" s="105">
        <f>SUM(D3:D7)</f>
        <v>-79532.766666666663</v>
      </c>
    </row>
    <row r="9" spans="2:13" ht="6.6" customHeight="1" thickBot="1"/>
    <row r="10" spans="2:13" s="23" customFormat="1" ht="21.95" customHeight="1" thickBot="1">
      <c r="B10" s="91" t="s">
        <v>69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2:13" ht="5.25" customHeight="1"/>
    <row r="12" spans="2:13" s="66" customFormat="1" ht="24.75" customHeight="1" thickBot="1">
      <c r="B12" s="64"/>
      <c r="C12" s="64"/>
      <c r="D12" s="65">
        <v>1</v>
      </c>
      <c r="E12" s="65">
        <v>2</v>
      </c>
      <c r="F12" s="65">
        <v>3</v>
      </c>
      <c r="G12" s="65">
        <v>4</v>
      </c>
      <c r="H12" s="65">
        <v>5</v>
      </c>
      <c r="I12" s="65">
        <v>6</v>
      </c>
      <c r="J12" s="65">
        <v>7</v>
      </c>
      <c r="K12" s="65">
        <v>8</v>
      </c>
      <c r="L12" s="65">
        <v>9</v>
      </c>
      <c r="M12" s="65">
        <v>10</v>
      </c>
    </row>
    <row r="13" spans="2:13">
      <c r="C13" s="23" t="s">
        <v>47</v>
      </c>
      <c r="D13" s="63">
        <f>IF(D12&gt;'Inputs-Outputs'!$G$6,"",'Inputs-Outputs'!$G$10-'Inputs-Outputs'!$F$10)</f>
        <v>20000</v>
      </c>
      <c r="E13" s="63">
        <f>IF(E12&gt;'Inputs-Outputs'!$G$6,"",'Inputs-Outputs'!$G$10-'Inputs-Outputs'!$F$10)</f>
        <v>20000</v>
      </c>
      <c r="F13" s="63">
        <f>IF(F12&gt;'Inputs-Outputs'!$G$6,"",'Inputs-Outputs'!$G$10-'Inputs-Outputs'!$F$10)</f>
        <v>20000</v>
      </c>
      <c r="G13" s="63">
        <f>IF(G12&gt;'Inputs-Outputs'!$G$6,"",'Inputs-Outputs'!$G$10-'Inputs-Outputs'!$F$10)</f>
        <v>20000</v>
      </c>
      <c r="H13" s="63">
        <f>IF(H12&gt;'Inputs-Outputs'!$G$6,"",'Inputs-Outputs'!$G$10-'Inputs-Outputs'!$F$10)</f>
        <v>20000</v>
      </c>
      <c r="I13" s="63">
        <f>IF(I12&gt;'Inputs-Outputs'!$G$6,"",'Inputs-Outputs'!$G$10-'Inputs-Outputs'!$F$10)</f>
        <v>20000</v>
      </c>
      <c r="J13" s="63">
        <f>IF(J12&gt;'Inputs-Outputs'!$G$6,"",'Inputs-Outputs'!$G$10-'Inputs-Outputs'!$F$10)</f>
        <v>20000</v>
      </c>
      <c r="K13" s="63">
        <f>IF(K12&gt;'Inputs-Outputs'!$G$6,"",'Inputs-Outputs'!$G$10-'Inputs-Outputs'!$F$10)</f>
        <v>20000</v>
      </c>
      <c r="L13" s="63" t="str">
        <f>IF(L12&gt;'Inputs-Outputs'!$G$6,"",'Inputs-Outputs'!$G$10-'Inputs-Outputs'!$F$10)</f>
        <v/>
      </c>
      <c r="M13" s="63" t="str">
        <f>IF(M12&gt;'Inputs-Outputs'!$G$6,"",'Inputs-Outputs'!$G$10-'Inputs-Outputs'!$F$10)</f>
        <v/>
      </c>
    </row>
    <row r="14" spans="2:13">
      <c r="B14" s="2" t="s">
        <v>15</v>
      </c>
      <c r="C14" s="23" t="s">
        <v>48</v>
      </c>
      <c r="D14" s="1">
        <f>IF(D12&gt;'Inputs-Outputs'!$G$6,"",'Inputs-Outputs'!$F$11-'Inputs-Outputs'!$G$11)</f>
        <v>-2000</v>
      </c>
      <c r="E14" s="23">
        <f>IF(E12&gt;'Inputs-Outputs'!$G$6,"",'Inputs-Outputs'!$F$11-'Inputs-Outputs'!$G$11)</f>
        <v>-2000</v>
      </c>
      <c r="F14" s="23">
        <f>IF(F12&gt;'Inputs-Outputs'!$G$6,"",'Inputs-Outputs'!$F$11-'Inputs-Outputs'!$G$11)</f>
        <v>-2000</v>
      </c>
      <c r="G14" s="23">
        <f>IF(G12&gt;'Inputs-Outputs'!$G$6,"",'Inputs-Outputs'!$F$11-'Inputs-Outputs'!$G$11)</f>
        <v>-2000</v>
      </c>
      <c r="H14" s="23">
        <f>IF(H12&gt;'Inputs-Outputs'!$G$6,"",'Inputs-Outputs'!$F$11-'Inputs-Outputs'!$G$11)</f>
        <v>-2000</v>
      </c>
      <c r="I14" s="23">
        <f>IF(I12&gt;'Inputs-Outputs'!$G$6,"",'Inputs-Outputs'!$F$11-'Inputs-Outputs'!$G$11)</f>
        <v>-2000</v>
      </c>
      <c r="J14" s="23">
        <f>IF(J12&gt;'Inputs-Outputs'!$G$6,"",'Inputs-Outputs'!$F$11-'Inputs-Outputs'!$G$11)</f>
        <v>-2000</v>
      </c>
      <c r="K14" s="23">
        <f>IF(K12&gt;'Inputs-Outputs'!$G$6,"",'Inputs-Outputs'!$F$11-'Inputs-Outputs'!$G$11)</f>
        <v>-2000</v>
      </c>
      <c r="L14" s="23" t="str">
        <f>IF(L12&gt;'Inputs-Outputs'!$G$6,"",'Inputs-Outputs'!$F$11-'Inputs-Outputs'!$G$11)</f>
        <v/>
      </c>
      <c r="M14" s="23" t="str">
        <f>IF(M12&gt;'Inputs-Outputs'!$G$6,"",'Inputs-Outputs'!$F$11-'Inputs-Outputs'!$G$11)</f>
        <v/>
      </c>
    </row>
    <row r="15" spans="2:13" ht="17.25">
      <c r="B15" s="2" t="s">
        <v>15</v>
      </c>
      <c r="C15" s="24" t="s">
        <v>49</v>
      </c>
      <c r="D15" s="24">
        <f>IF(D12&gt;'Inputs-Outputs'!$G$6,"",-'Depn-ATSV'!C32)</f>
        <v>-25925</v>
      </c>
      <c r="E15" s="24">
        <f>IF(E12&gt;'Inputs-Outputs'!$G$6,"",-'Depn-ATSV'!D32)</f>
        <v>-40745</v>
      </c>
      <c r="F15" s="24">
        <f>IF(F12&gt;'Inputs-Outputs'!$G$6,"",-'Depn-ATSV'!E32)</f>
        <v>-14810.000000000002</v>
      </c>
      <c r="G15" s="24">
        <f>IF(G12&gt;'Inputs-Outputs'!$G$6,"",-'Depn-ATSV'!F32)</f>
        <v>-7410</v>
      </c>
      <c r="H15" s="24">
        <f>IF(H12&gt;'Inputs-Outputs'!$G$6,"",-'Depn-ATSV'!G32)</f>
        <v>0</v>
      </c>
      <c r="I15" s="24">
        <f>IF(I12&gt;'Inputs-Outputs'!$G$6,"",-'Depn-ATSV'!H32)</f>
        <v>0</v>
      </c>
      <c r="J15" s="24">
        <f>IF(J12&gt;'Inputs-Outputs'!$G$6,"",-'Depn-ATSV'!I32)</f>
        <v>0</v>
      </c>
      <c r="K15" s="24">
        <f>IF(K12&gt;'Inputs-Outputs'!$G$6,"",-'Depn-ATSV'!J32)</f>
        <v>0</v>
      </c>
      <c r="L15" s="24" t="str">
        <f>IF(L12&gt;'Inputs-Outputs'!$G$6,"",-'Depn-ATSV'!K32)</f>
        <v/>
      </c>
      <c r="M15" s="24" t="str">
        <f>IF(M12&gt;'Inputs-Outputs'!$G$6,"",-'Depn-ATSV'!L32)</f>
        <v/>
      </c>
    </row>
    <row r="16" spans="2:13" s="67" customFormat="1">
      <c r="C16" s="67" t="s">
        <v>50</v>
      </c>
      <c r="D16" s="68">
        <f t="shared" ref="D16:M16" si="0">IF(D12&gt;Life,"",D13+D14+D15)</f>
        <v>-7925</v>
      </c>
      <c r="E16" s="68">
        <f t="shared" si="0"/>
        <v>-22745</v>
      </c>
      <c r="F16" s="68">
        <f t="shared" si="0"/>
        <v>3189.9999999999982</v>
      </c>
      <c r="G16" s="68">
        <f t="shared" si="0"/>
        <v>10590</v>
      </c>
      <c r="H16" s="68">
        <f t="shared" si="0"/>
        <v>18000</v>
      </c>
      <c r="I16" s="68">
        <f t="shared" si="0"/>
        <v>18000</v>
      </c>
      <c r="J16" s="68">
        <f t="shared" si="0"/>
        <v>18000</v>
      </c>
      <c r="K16" s="68">
        <f t="shared" si="0"/>
        <v>18000</v>
      </c>
      <c r="L16" s="68" t="str">
        <f t="shared" si="0"/>
        <v/>
      </c>
      <c r="M16" s="68" t="str">
        <f t="shared" si="0"/>
        <v/>
      </c>
    </row>
    <row r="17" spans="2:13" ht="17.25">
      <c r="B17" s="2" t="s">
        <v>15</v>
      </c>
      <c r="C17" s="24" t="s">
        <v>51</v>
      </c>
      <c r="D17" s="24">
        <f t="shared" ref="D17:M17" si="1">IF(D12&gt;Life,"",-Tax*D16)</f>
        <v>2694.5</v>
      </c>
      <c r="E17" s="24">
        <f t="shared" si="1"/>
        <v>7733.3</v>
      </c>
      <c r="F17" s="24">
        <f t="shared" si="1"/>
        <v>-1084.5999999999995</v>
      </c>
      <c r="G17" s="24">
        <f t="shared" si="1"/>
        <v>-3600.6000000000004</v>
      </c>
      <c r="H17" s="24">
        <f t="shared" si="1"/>
        <v>-6120</v>
      </c>
      <c r="I17" s="24">
        <f t="shared" si="1"/>
        <v>-6120</v>
      </c>
      <c r="J17" s="24">
        <f t="shared" si="1"/>
        <v>-6120</v>
      </c>
      <c r="K17" s="24">
        <f t="shared" si="1"/>
        <v>-6120</v>
      </c>
      <c r="L17" s="24" t="str">
        <f t="shared" si="1"/>
        <v/>
      </c>
      <c r="M17" s="24" t="str">
        <f t="shared" si="1"/>
        <v/>
      </c>
    </row>
    <row r="18" spans="2:13" s="67" customFormat="1">
      <c r="C18" s="67" t="s">
        <v>52</v>
      </c>
      <c r="D18" s="68">
        <f t="shared" ref="D18:M18" si="2">IF(D12&gt;Life,"",D16+D17)</f>
        <v>-5230.5</v>
      </c>
      <c r="E18" s="68">
        <f t="shared" si="2"/>
        <v>-15011.7</v>
      </c>
      <c r="F18" s="68">
        <f t="shared" si="2"/>
        <v>2105.3999999999987</v>
      </c>
      <c r="G18" s="68">
        <f t="shared" si="2"/>
        <v>6989.4</v>
      </c>
      <c r="H18" s="68">
        <f t="shared" si="2"/>
        <v>11880</v>
      </c>
      <c r="I18" s="68">
        <f t="shared" si="2"/>
        <v>11880</v>
      </c>
      <c r="J18" s="68">
        <f t="shared" si="2"/>
        <v>11880</v>
      </c>
      <c r="K18" s="68">
        <f t="shared" si="2"/>
        <v>11880</v>
      </c>
      <c r="L18" s="68" t="str">
        <f t="shared" si="2"/>
        <v/>
      </c>
      <c r="M18" s="68" t="str">
        <f t="shared" si="2"/>
        <v/>
      </c>
    </row>
    <row r="19" spans="2:13" ht="17.25">
      <c r="C19" s="24" t="s">
        <v>53</v>
      </c>
      <c r="D19" s="24">
        <f t="shared" ref="D19:M19" si="3">IF(D12&gt;Life,"",-D15)</f>
        <v>25925</v>
      </c>
      <c r="E19" s="24">
        <f t="shared" si="3"/>
        <v>40745</v>
      </c>
      <c r="F19" s="24">
        <f t="shared" si="3"/>
        <v>14810.000000000002</v>
      </c>
      <c r="G19" s="24">
        <f t="shared" si="3"/>
        <v>7410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4">
        <f t="shared" si="3"/>
        <v>0</v>
      </c>
      <c r="L19" s="24" t="str">
        <f t="shared" si="3"/>
        <v/>
      </c>
      <c r="M19" s="24" t="str">
        <f t="shared" si="3"/>
        <v/>
      </c>
    </row>
    <row r="20" spans="2:13" s="67" customFormat="1">
      <c r="C20" s="67" t="s">
        <v>59</v>
      </c>
      <c r="D20" s="68">
        <f t="shared" ref="D20:M20" si="4">IF(D12&gt;Life,"",D18+D19)</f>
        <v>20694.5</v>
      </c>
      <c r="E20" s="68">
        <f t="shared" si="4"/>
        <v>25733.3</v>
      </c>
      <c r="F20" s="68">
        <f t="shared" si="4"/>
        <v>16915.400000000001</v>
      </c>
      <c r="G20" s="68">
        <f t="shared" si="4"/>
        <v>14399.4</v>
      </c>
      <c r="H20" s="68">
        <f t="shared" si="4"/>
        <v>11880</v>
      </c>
      <c r="I20" s="68">
        <f t="shared" si="4"/>
        <v>11880</v>
      </c>
      <c r="J20" s="68">
        <f t="shared" si="4"/>
        <v>11880</v>
      </c>
      <c r="K20" s="68">
        <f t="shared" si="4"/>
        <v>11880</v>
      </c>
      <c r="L20" s="68" t="str">
        <f t="shared" si="4"/>
        <v/>
      </c>
      <c r="M20" s="68" t="str">
        <f t="shared" si="4"/>
        <v/>
      </c>
    </row>
    <row r="21" spans="2:13" ht="6.6" customHeight="1"/>
    <row r="22" spans="2:13">
      <c r="C22" s="23" t="s">
        <v>58</v>
      </c>
      <c r="D22" s="23">
        <f t="shared" ref="D22:M22" si="5">IF(D12&lt;Life,0,IF(D12=Life,-$D$7,""))</f>
        <v>0</v>
      </c>
      <c r="E22" s="23">
        <f t="shared" si="5"/>
        <v>0</v>
      </c>
      <c r="F22" s="23">
        <f t="shared" si="5"/>
        <v>0</v>
      </c>
      <c r="G22" s="23">
        <f t="shared" si="5"/>
        <v>0</v>
      </c>
      <c r="H22" s="23">
        <f t="shared" si="5"/>
        <v>0</v>
      </c>
      <c r="I22" s="23">
        <f t="shared" si="5"/>
        <v>0</v>
      </c>
      <c r="J22" s="23">
        <f t="shared" si="5"/>
        <v>0</v>
      </c>
      <c r="K22" s="23">
        <f t="shared" si="5"/>
        <v>-5000</v>
      </c>
      <c r="L22" s="23" t="str">
        <f t="shared" si="5"/>
        <v/>
      </c>
      <c r="M22" s="23" t="str">
        <f t="shared" si="5"/>
        <v/>
      </c>
    </row>
    <row r="23" spans="2:13" ht="17.25">
      <c r="C23" s="24" t="s">
        <v>60</v>
      </c>
      <c r="D23" s="24">
        <f>IF(D12&lt;Life,0,IF(D12=Life,'Depn-ATSV'!$K$62,""))</f>
        <v>0</v>
      </c>
      <c r="E23" s="24">
        <f>IF(E12&lt;Life,0,IF(E12=Life,'Depn-ATSV'!$K$62,""))</f>
        <v>0</v>
      </c>
      <c r="F23" s="24">
        <f>IF(F12&lt;Life,0,IF(F12=Life,'Depn-ATSV'!$K$62,""))</f>
        <v>0</v>
      </c>
      <c r="G23" s="24">
        <f>IF(G12&lt;Life,0,IF(G12=Life,'Depn-ATSV'!$K$62,""))</f>
        <v>0</v>
      </c>
      <c r="H23" s="24">
        <f>IF(H12&lt;Life,0,IF(H12=Life,'Depn-ATSV'!$K$62,""))</f>
        <v>0</v>
      </c>
      <c r="I23" s="24">
        <f>IF(I12&lt;Life,0,IF(I12=Life,'Depn-ATSV'!$K$62,""))</f>
        <v>0</v>
      </c>
      <c r="J23" s="24">
        <f>IF(J12&lt;Life,0,IF(J12=Life,'Depn-ATSV'!$K$62,""))</f>
        <v>0</v>
      </c>
      <c r="K23" s="24">
        <f>IF(K12&lt;Life,0,IF(K12=Life,'Depn-ATSV'!$K$62,""))</f>
        <v>11310.166666666668</v>
      </c>
      <c r="L23" s="24" t="str">
        <f>IF(L12&lt;Life,0,IF(L12=Life,'Depn-ATSV'!$K$62,""))</f>
        <v/>
      </c>
      <c r="M23" s="24" t="str">
        <f>IF(M12&lt;Life,0,IF(M12=Life,'Depn-ATSV'!$K$62,""))</f>
        <v/>
      </c>
    </row>
    <row r="24" spans="2:13" s="67" customFormat="1">
      <c r="C24" s="67" t="s">
        <v>67</v>
      </c>
      <c r="D24" s="68">
        <f t="shared" ref="D24:M24" si="6">IF(D12&gt;Life,"",SUM(D20:D23))</f>
        <v>20694.5</v>
      </c>
      <c r="E24" s="68">
        <f t="shared" si="6"/>
        <v>25733.3</v>
      </c>
      <c r="F24" s="68">
        <f t="shared" si="6"/>
        <v>16915.400000000001</v>
      </c>
      <c r="G24" s="68">
        <f t="shared" si="6"/>
        <v>14399.4</v>
      </c>
      <c r="H24" s="68">
        <f t="shared" si="6"/>
        <v>11880</v>
      </c>
      <c r="I24" s="68">
        <f t="shared" si="6"/>
        <v>11880</v>
      </c>
      <c r="J24" s="68">
        <f t="shared" si="6"/>
        <v>11880</v>
      </c>
      <c r="K24" s="68">
        <f t="shared" si="6"/>
        <v>18190.166666666668</v>
      </c>
      <c r="L24" s="68" t="str">
        <f t="shared" si="6"/>
        <v/>
      </c>
      <c r="M24" s="68" t="str">
        <f t="shared" si="6"/>
        <v/>
      </c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2"/>
  <sheetViews>
    <sheetView workbookViewId="0">
      <selection activeCell="C63" sqref="C63"/>
    </sheetView>
  </sheetViews>
  <sheetFormatPr defaultRowHeight="15"/>
  <cols>
    <col min="1" max="1" width="8.7109375" style="42"/>
    <col min="2" max="2" width="13.5703125" customWidth="1"/>
    <col min="3" max="4" width="9.5703125" customWidth="1"/>
    <col min="5" max="5" width="11.140625" customWidth="1"/>
    <col min="6" max="9" width="9.5703125" customWidth="1"/>
    <col min="11" max="11" width="10.140625" bestFit="1" customWidth="1"/>
    <col min="13" max="13" width="10.140625" customWidth="1"/>
    <col min="14" max="14" width="10.140625" style="22" customWidth="1"/>
    <col min="16" max="16" width="9.140625" style="22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95" t="s">
        <v>33</v>
      </c>
      <c r="C2" s="95"/>
      <c r="D2" s="95"/>
      <c r="E2" s="95"/>
      <c r="F2" s="95"/>
      <c r="G2" s="22"/>
    </row>
    <row r="3" spans="1:7" ht="15.75" thickBot="1">
      <c r="B3" s="34" t="s">
        <v>28</v>
      </c>
      <c r="C3" s="35" t="s">
        <v>29</v>
      </c>
      <c r="D3" s="35" t="s">
        <v>30</v>
      </c>
      <c r="E3" s="35" t="s">
        <v>31</v>
      </c>
      <c r="F3" s="36" t="s">
        <v>32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2"/>
      <c r="B16" s="97" t="s">
        <v>80</v>
      </c>
      <c r="C16" s="97"/>
      <c r="D16" s="97"/>
      <c r="E16" s="97"/>
      <c r="F16" s="97"/>
      <c r="G16" s="97"/>
    </row>
    <row r="17" spans="1:26" s="22" customFormat="1">
      <c r="A17" s="42"/>
      <c r="B17" s="55" t="s">
        <v>34</v>
      </c>
      <c r="C17" s="55"/>
      <c r="D17" s="55"/>
      <c r="E17" s="55"/>
      <c r="F17" s="55" t="s">
        <v>56</v>
      </c>
    </row>
    <row r="18" spans="1:26" s="22" customFormat="1" ht="5.45" customHeight="1">
      <c r="A18" s="42"/>
    </row>
    <row r="19" spans="1:26" s="22" customFormat="1">
      <c r="A19" s="42"/>
      <c r="B19" s="56" t="s">
        <v>35</v>
      </c>
      <c r="C19" s="23">
        <f>'Inputs-Outputs'!F5</f>
        <v>50000</v>
      </c>
      <c r="F19" s="56" t="s">
        <v>35</v>
      </c>
      <c r="G19" s="23">
        <f>'Inputs-Outputs'!G5</f>
        <v>100000</v>
      </c>
      <c r="R19" s="23" t="s">
        <v>27</v>
      </c>
      <c r="S19" s="22">
        <v>2</v>
      </c>
      <c r="T19" s="22">
        <v>3</v>
      </c>
    </row>
    <row r="20" spans="1:26" s="22" customFormat="1">
      <c r="A20" s="42"/>
      <c r="B20" s="56" t="s">
        <v>36</v>
      </c>
      <c r="C20" s="23" t="str">
        <f>'Inputs-Outputs'!F12</f>
        <v>MACRS</v>
      </c>
      <c r="F20" s="56" t="s">
        <v>36</v>
      </c>
      <c r="G20" s="23" t="str">
        <f>'Inputs-Outputs'!G12</f>
        <v>MACRS</v>
      </c>
      <c r="R20" s="23" t="s">
        <v>84</v>
      </c>
      <c r="S20" s="22">
        <v>3</v>
      </c>
      <c r="T20" s="22">
        <v>5</v>
      </c>
    </row>
    <row r="21" spans="1:26" s="22" customFormat="1">
      <c r="A21" s="42"/>
      <c r="B21" s="56" t="s">
        <v>37</v>
      </c>
      <c r="C21" s="23" t="str">
        <f>'Inputs-Outputs'!F13</f>
        <v>3-Year</v>
      </c>
      <c r="F21" s="56" t="s">
        <v>37</v>
      </c>
      <c r="G21" s="23" t="str">
        <f>'Inputs-Outputs'!G13</f>
        <v>3-Year</v>
      </c>
      <c r="R21" s="23" t="s">
        <v>85</v>
      </c>
      <c r="S21" s="22">
        <v>4</v>
      </c>
      <c r="T21" s="22">
        <v>7</v>
      </c>
    </row>
    <row r="22" spans="1:26" s="22" customFormat="1" ht="15.75" thickBot="1">
      <c r="A22" s="42"/>
      <c r="B22" s="57" t="s">
        <v>38</v>
      </c>
      <c r="C22" s="25">
        <f>'Inputs-Outputs'!F7</f>
        <v>2</v>
      </c>
      <c r="D22" s="40"/>
      <c r="E22" s="40"/>
      <c r="F22" s="40"/>
      <c r="G22" s="25"/>
      <c r="R22" s="23" t="s">
        <v>86</v>
      </c>
      <c r="S22" s="22">
        <v>5</v>
      </c>
      <c r="T22" s="22">
        <v>10</v>
      </c>
    </row>
    <row r="23" spans="1:26" s="22" customFormat="1">
      <c r="A23" s="42"/>
    </row>
    <row r="24" spans="1:26">
      <c r="A24" s="45"/>
      <c r="B24" s="61" t="s">
        <v>81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26">
      <c r="A25" s="47"/>
      <c r="B25" s="58" t="s">
        <v>28</v>
      </c>
      <c r="C25" s="46">
        <v>1</v>
      </c>
      <c r="D25" s="46">
        <v>2</v>
      </c>
      <c r="E25" s="46">
        <v>3</v>
      </c>
      <c r="F25" s="46">
        <v>4</v>
      </c>
      <c r="G25" s="46">
        <v>5</v>
      </c>
      <c r="H25" s="46">
        <v>6</v>
      </c>
      <c r="I25" s="46">
        <v>7</v>
      </c>
      <c r="J25" s="46">
        <v>8</v>
      </c>
      <c r="K25" s="46">
        <v>9</v>
      </c>
      <c r="L25" s="46">
        <v>10</v>
      </c>
      <c r="M25" s="46" t="s">
        <v>46</v>
      </c>
      <c r="N25" s="46"/>
      <c r="O25" s="46"/>
      <c r="P25" s="46"/>
      <c r="Q25" s="46">
        <v>1</v>
      </c>
      <c r="R25" s="46">
        <v>2</v>
      </c>
      <c r="S25" s="46">
        <v>3</v>
      </c>
      <c r="T25" s="46">
        <v>4</v>
      </c>
      <c r="U25" s="46">
        <v>5</v>
      </c>
      <c r="V25" s="46">
        <v>6</v>
      </c>
      <c r="W25" s="46">
        <v>7</v>
      </c>
      <c r="X25" s="46">
        <v>8</v>
      </c>
      <c r="Y25" s="46">
        <v>9</v>
      </c>
      <c r="Z25" s="46">
        <v>10</v>
      </c>
    </row>
    <row r="26" spans="1:26" s="22" customFormat="1">
      <c r="A26" s="47"/>
      <c r="B26" s="46"/>
      <c r="C26" s="48">
        <f t="shared" ref="C26:L26" si="0">IF(C20="MACRS",Q27,Q26)</f>
        <v>16665</v>
      </c>
      <c r="D26" s="48">
        <f t="shared" si="0"/>
        <v>16666.666666666668</v>
      </c>
      <c r="E26" s="48">
        <f t="shared" si="0"/>
        <v>0</v>
      </c>
      <c r="F26" s="48">
        <f t="shared" si="0"/>
        <v>0</v>
      </c>
      <c r="G26" s="48">
        <f t="shared" si="0"/>
        <v>0</v>
      </c>
      <c r="H26" s="48">
        <f t="shared" si="0"/>
        <v>0</v>
      </c>
      <c r="I26" s="48">
        <f t="shared" si="0"/>
        <v>0</v>
      </c>
      <c r="J26" s="48">
        <f t="shared" si="0"/>
        <v>0</v>
      </c>
      <c r="K26" s="48">
        <f t="shared" si="0"/>
        <v>0</v>
      </c>
      <c r="L26" s="48">
        <f t="shared" si="0"/>
        <v>0</v>
      </c>
      <c r="M26" s="23">
        <f>SUM(C26:L26)</f>
        <v>33331.666666666672</v>
      </c>
      <c r="N26" s="43" t="s">
        <v>87</v>
      </c>
      <c r="O26" s="48" t="s">
        <v>83</v>
      </c>
      <c r="P26" s="48">
        <f>VLOOKUP($C$21,$R$19:$T$22,3,FALSE)</f>
        <v>3</v>
      </c>
      <c r="Q26" s="46">
        <f>IF(Q25&gt;$C$22,0,$C$19/$P$26)</f>
        <v>16666.666666666668</v>
      </c>
      <c r="R26" s="46">
        <f t="shared" ref="R26:Z26" si="1">IF(R25&gt;$C$22,0,$C$19/$P$26)</f>
        <v>16666.666666666668</v>
      </c>
      <c r="S26" s="46">
        <f t="shared" si="1"/>
        <v>0</v>
      </c>
      <c r="T26" s="46">
        <f t="shared" si="1"/>
        <v>0</v>
      </c>
      <c r="U26" s="46">
        <f t="shared" si="1"/>
        <v>0</v>
      </c>
      <c r="V26" s="46">
        <f t="shared" si="1"/>
        <v>0</v>
      </c>
      <c r="W26" s="46">
        <f t="shared" si="1"/>
        <v>0</v>
      </c>
      <c r="X26" s="46">
        <f t="shared" si="1"/>
        <v>0</v>
      </c>
      <c r="Y26" s="46">
        <f t="shared" si="1"/>
        <v>0</v>
      </c>
      <c r="Z26" s="46">
        <f t="shared" si="1"/>
        <v>0</v>
      </c>
    </row>
    <row r="27" spans="1:26" s="22" customFormat="1">
      <c r="A27" s="4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46" t="s">
        <v>26</v>
      </c>
      <c r="P27" s="69">
        <f>VLOOKUP(C21,$R$19:$T$22,2,FALSE)</f>
        <v>2</v>
      </c>
      <c r="Q27" s="41">
        <f>IF(Q25&lt;=$C$22,$C$19*VLOOKUP(Q25,$B$4:$F$14,$P$27,FALSE),0)</f>
        <v>16665</v>
      </c>
      <c r="R27" s="41">
        <f t="shared" ref="R27:Z27" si="2">IF(R25&lt;=$C$22,$C$19*VLOOKUP(R25,$B$4:$F$14,$P$27,FALSE),0)</f>
        <v>22225</v>
      </c>
      <c r="S27" s="41">
        <f t="shared" si="2"/>
        <v>0</v>
      </c>
      <c r="T27" s="41">
        <f t="shared" si="2"/>
        <v>0</v>
      </c>
      <c r="U27" s="41">
        <f t="shared" si="2"/>
        <v>0</v>
      </c>
      <c r="V27" s="41">
        <f t="shared" si="2"/>
        <v>0</v>
      </c>
      <c r="W27" s="41">
        <f t="shared" si="2"/>
        <v>0</v>
      </c>
      <c r="X27" s="41">
        <f t="shared" si="2"/>
        <v>0</v>
      </c>
      <c r="Y27" s="41">
        <f t="shared" si="2"/>
        <v>0</v>
      </c>
      <c r="Z27" s="41">
        <f t="shared" si="2"/>
        <v>0</v>
      </c>
    </row>
    <row r="28" spans="1:26" s="22" customFormat="1">
      <c r="A28" s="42"/>
      <c r="B28" s="55" t="s">
        <v>82</v>
      </c>
      <c r="N28" s="42"/>
      <c r="Q28" s="46">
        <v>1</v>
      </c>
      <c r="R28" s="46">
        <v>2</v>
      </c>
      <c r="S28" s="46">
        <v>3</v>
      </c>
      <c r="T28" s="46">
        <v>4</v>
      </c>
      <c r="U28" s="46">
        <v>5</v>
      </c>
      <c r="V28" s="46">
        <v>6</v>
      </c>
      <c r="W28" s="46">
        <v>7</v>
      </c>
      <c r="X28" s="46">
        <v>8</v>
      </c>
      <c r="Y28" s="46">
        <v>9</v>
      </c>
      <c r="Z28" s="46">
        <v>10</v>
      </c>
    </row>
    <row r="29" spans="1:26">
      <c r="B29" s="59" t="s">
        <v>28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46</v>
      </c>
      <c r="N29" s="42" t="s">
        <v>88</v>
      </c>
      <c r="O29" s="48" t="s">
        <v>83</v>
      </c>
      <c r="P29" s="48">
        <f>VLOOKUP($G$21,$R$19:$T$22,3,FALSE)</f>
        <v>3</v>
      </c>
      <c r="Q29" s="46">
        <f>IF(Q28&gt;$P$29,"",$G$19/$P$29)</f>
        <v>33333.333333333336</v>
      </c>
      <c r="R29" s="46">
        <f t="shared" ref="R29:Z29" si="3">IF(R28&gt;$P$29,"",$G$19/$P$29)</f>
        <v>33333.333333333336</v>
      </c>
      <c r="S29" s="46">
        <f t="shared" si="3"/>
        <v>33333.333333333336</v>
      </c>
      <c r="T29" s="46" t="str">
        <f t="shared" si="3"/>
        <v/>
      </c>
      <c r="U29" s="46" t="str">
        <f t="shared" si="3"/>
        <v/>
      </c>
      <c r="V29" s="46" t="str">
        <f t="shared" si="3"/>
        <v/>
      </c>
      <c r="W29" s="46" t="str">
        <f t="shared" si="3"/>
        <v/>
      </c>
      <c r="X29" s="46" t="str">
        <f t="shared" si="3"/>
        <v/>
      </c>
      <c r="Y29" s="46" t="str">
        <f t="shared" si="3"/>
        <v/>
      </c>
      <c r="Z29" s="46" t="str">
        <f t="shared" si="3"/>
        <v/>
      </c>
    </row>
    <row r="30" spans="1:26" s="22" customFormat="1">
      <c r="A30" s="42"/>
      <c r="B30" s="59" t="s">
        <v>55</v>
      </c>
      <c r="C30" s="23">
        <f t="shared" ref="C30:L30" si="4">IF(C29&lt;=Life,IF($G$20="MACRS",Q30,Q29),0)</f>
        <v>33330</v>
      </c>
      <c r="D30" s="23">
        <f t="shared" si="4"/>
        <v>44450</v>
      </c>
      <c r="E30" s="23">
        <f t="shared" si="4"/>
        <v>14810.000000000002</v>
      </c>
      <c r="F30" s="23">
        <f t="shared" si="4"/>
        <v>7410</v>
      </c>
      <c r="G30" s="23">
        <f t="shared" si="4"/>
        <v>0</v>
      </c>
      <c r="H30" s="23">
        <f t="shared" si="4"/>
        <v>0</v>
      </c>
      <c r="I30" s="23">
        <f t="shared" si="4"/>
        <v>0</v>
      </c>
      <c r="J30" s="23">
        <f t="shared" si="4"/>
        <v>0</v>
      </c>
      <c r="K30" s="23">
        <f t="shared" si="4"/>
        <v>0</v>
      </c>
      <c r="L30" s="23">
        <f t="shared" si="4"/>
        <v>0</v>
      </c>
      <c r="M30" s="23">
        <f>SUM(C30:L30)</f>
        <v>100000</v>
      </c>
      <c r="N30" s="43"/>
      <c r="O30" s="46" t="s">
        <v>26</v>
      </c>
      <c r="P30" s="69">
        <f>VLOOKUP(G21,$R$19:$T$22,2,FALSE)</f>
        <v>2</v>
      </c>
      <c r="Q30" s="41">
        <f>$G$19*VLOOKUP(Q28,$B$4:$F$14,$P$30)</f>
        <v>33330</v>
      </c>
      <c r="R30" s="41">
        <f t="shared" ref="R30:Z30" si="5">$G$19*VLOOKUP(R28,$B$4:$F$14,$P$30)</f>
        <v>44450</v>
      </c>
      <c r="S30" s="41">
        <f t="shared" si="5"/>
        <v>14810.000000000002</v>
      </c>
      <c r="T30" s="41">
        <f t="shared" si="5"/>
        <v>7410</v>
      </c>
      <c r="U30" s="41">
        <f t="shared" si="5"/>
        <v>0</v>
      </c>
      <c r="V30" s="41">
        <f t="shared" si="5"/>
        <v>0</v>
      </c>
      <c r="W30" s="41">
        <f t="shared" si="5"/>
        <v>0</v>
      </c>
      <c r="X30" s="41">
        <f t="shared" si="5"/>
        <v>0</v>
      </c>
      <c r="Y30" s="41">
        <f t="shared" si="5"/>
        <v>0</v>
      </c>
      <c r="Z30" s="41">
        <f t="shared" si="5"/>
        <v>0</v>
      </c>
    </row>
    <row r="31" spans="1:26" ht="17.25">
      <c r="B31" s="60" t="s">
        <v>54</v>
      </c>
      <c r="C31" s="24">
        <f t="shared" ref="C31:L31" si="6">IF(C29&lt;=Life,IF($C$20="MACRS",Q33,Q32),0)</f>
        <v>7405.0000000000009</v>
      </c>
      <c r="D31" s="24">
        <f t="shared" si="6"/>
        <v>3705</v>
      </c>
      <c r="E31" s="24">
        <f t="shared" si="6"/>
        <v>0</v>
      </c>
      <c r="F31" s="24">
        <f t="shared" si="6"/>
        <v>0</v>
      </c>
      <c r="G31" s="24">
        <f t="shared" si="6"/>
        <v>0</v>
      </c>
      <c r="H31" s="24">
        <f t="shared" si="6"/>
        <v>0</v>
      </c>
      <c r="I31" s="24">
        <f t="shared" si="6"/>
        <v>0</v>
      </c>
      <c r="J31" s="24">
        <f t="shared" si="6"/>
        <v>0</v>
      </c>
      <c r="K31" s="24">
        <f t="shared" si="6"/>
        <v>0</v>
      </c>
      <c r="L31" s="24">
        <f t="shared" si="6"/>
        <v>0</v>
      </c>
      <c r="M31" s="23">
        <f>SUM(C31:L31)</f>
        <v>11110</v>
      </c>
      <c r="N31" s="43"/>
      <c r="Q31" s="46">
        <v>1</v>
      </c>
      <c r="R31" s="46">
        <v>2</v>
      </c>
      <c r="S31" s="46">
        <v>3</v>
      </c>
      <c r="T31" s="46">
        <v>4</v>
      </c>
      <c r="U31" s="46">
        <v>5</v>
      </c>
      <c r="V31" s="46">
        <v>6</v>
      </c>
      <c r="W31" s="46">
        <v>7</v>
      </c>
      <c r="X31" s="46">
        <v>8</v>
      </c>
      <c r="Y31" s="46">
        <v>9</v>
      </c>
      <c r="Z31" s="46">
        <v>10</v>
      </c>
    </row>
    <row r="32" spans="1:26">
      <c r="B32" s="59" t="s">
        <v>57</v>
      </c>
      <c r="C32" s="23">
        <f>C30-C31</f>
        <v>25925</v>
      </c>
      <c r="D32" s="23">
        <f t="shared" ref="D32:L32" si="7">D30-D31</f>
        <v>40745</v>
      </c>
      <c r="E32" s="23">
        <f t="shared" si="7"/>
        <v>14810.000000000002</v>
      </c>
      <c r="F32" s="23">
        <f t="shared" si="7"/>
        <v>7410</v>
      </c>
      <c r="G32" s="23">
        <f t="shared" si="7"/>
        <v>0</v>
      </c>
      <c r="H32" s="23">
        <f t="shared" si="7"/>
        <v>0</v>
      </c>
      <c r="I32" s="23">
        <f t="shared" si="7"/>
        <v>0</v>
      </c>
      <c r="J32" s="23">
        <f t="shared" si="7"/>
        <v>0</v>
      </c>
      <c r="K32" s="23">
        <f t="shared" si="7"/>
        <v>0</v>
      </c>
      <c r="L32" s="23">
        <f t="shared" si="7"/>
        <v>0</v>
      </c>
      <c r="N32" s="42" t="s">
        <v>87</v>
      </c>
      <c r="O32" s="48" t="s">
        <v>83</v>
      </c>
      <c r="P32" s="48">
        <f>VLOOKUP($C$21,$R$19:$T$22,3,FALSE)</f>
        <v>3</v>
      </c>
      <c r="Q32" s="46">
        <f>IF(Q31&gt;$P$32-$C$22,0,$C$19/$P$32)</f>
        <v>16666.666666666668</v>
      </c>
      <c r="R32" s="46">
        <f t="shared" ref="R32:Z32" si="8">IF(R31&gt;$P$32-$C$22,0,$C$19/$P$32)</f>
        <v>0</v>
      </c>
      <c r="S32" s="46">
        <f t="shared" si="8"/>
        <v>0</v>
      </c>
      <c r="T32" s="46">
        <f t="shared" si="8"/>
        <v>0</v>
      </c>
      <c r="U32" s="46">
        <f t="shared" si="8"/>
        <v>0</v>
      </c>
      <c r="V32" s="46">
        <f t="shared" si="8"/>
        <v>0</v>
      </c>
      <c r="W32" s="46">
        <f t="shared" si="8"/>
        <v>0</v>
      </c>
      <c r="X32" s="46">
        <f t="shared" si="8"/>
        <v>0</v>
      </c>
      <c r="Y32" s="46">
        <f t="shared" si="8"/>
        <v>0</v>
      </c>
      <c r="Z32" s="46">
        <f t="shared" si="8"/>
        <v>0</v>
      </c>
    </row>
    <row r="33" spans="1:26">
      <c r="O33" s="46" t="s">
        <v>26</v>
      </c>
      <c r="P33" s="69">
        <f>VLOOKUP(C21,$R$19:$T$22,2,FALSE)</f>
        <v>2</v>
      </c>
      <c r="Q33" s="41">
        <f>$C$19*VLOOKUP(Q31+$C$22,$B$4:$F$14,$P$33)</f>
        <v>7405.0000000000009</v>
      </c>
      <c r="R33" s="41">
        <f t="shared" ref="R33:Z33" si="9">$C$19*VLOOKUP(R31+$C$22,$B$4:$F$14,$P$33)</f>
        <v>3705</v>
      </c>
      <c r="S33" s="41">
        <f t="shared" si="9"/>
        <v>0</v>
      </c>
      <c r="T33" s="41">
        <f t="shared" si="9"/>
        <v>0</v>
      </c>
      <c r="U33" s="41">
        <f t="shared" si="9"/>
        <v>0</v>
      </c>
      <c r="V33" s="41">
        <f t="shared" si="9"/>
        <v>0</v>
      </c>
      <c r="W33" s="41">
        <f t="shared" si="9"/>
        <v>0</v>
      </c>
      <c r="X33" s="41">
        <f t="shared" si="9"/>
        <v>0</v>
      </c>
      <c r="Y33" s="41">
        <f t="shared" si="9"/>
        <v>0</v>
      </c>
      <c r="Z33" s="41">
        <f t="shared" si="9"/>
        <v>0</v>
      </c>
    </row>
    <row r="34" spans="1:26" s="22" customFormat="1">
      <c r="A34" s="42"/>
      <c r="B34" s="96" t="s">
        <v>66</v>
      </c>
      <c r="C34" s="96"/>
      <c r="D34" s="96"/>
      <c r="E34" s="96"/>
    </row>
    <row r="35" spans="1:26" ht="6.95" customHeight="1"/>
    <row r="36" spans="1:26">
      <c r="B36" s="23" t="s">
        <v>61</v>
      </c>
      <c r="E36" s="1">
        <f>C19</f>
        <v>50000</v>
      </c>
    </row>
    <row r="37" spans="1:26" ht="18" thickBot="1">
      <c r="A37" s="43" t="s">
        <v>15</v>
      </c>
      <c r="B37" s="39" t="s">
        <v>41</v>
      </c>
      <c r="C37" s="40"/>
      <c r="D37" s="40"/>
      <c r="E37" s="24">
        <f>-M26</f>
        <v>-33331.666666666672</v>
      </c>
    </row>
    <row r="38" spans="1:26">
      <c r="A38" s="43"/>
      <c r="B38" s="23" t="s">
        <v>40</v>
      </c>
      <c r="E38" s="1">
        <f>SUM(E36:E37)</f>
        <v>16668.333333333328</v>
      </c>
    </row>
    <row r="39" spans="1:26">
      <c r="A39" s="43"/>
      <c r="B39" s="1"/>
      <c r="E39" s="1"/>
    </row>
    <row r="40" spans="1:26">
      <c r="A40" s="43"/>
      <c r="B40" s="23" t="s">
        <v>39</v>
      </c>
      <c r="E40" s="1">
        <f>'Inputs-Outputs'!F14</f>
        <v>30000</v>
      </c>
    </row>
    <row r="41" spans="1:26" ht="18" thickBot="1">
      <c r="A41" s="43" t="s">
        <v>15</v>
      </c>
      <c r="B41" s="39" t="s">
        <v>40</v>
      </c>
      <c r="C41" s="40"/>
      <c r="D41" s="40"/>
      <c r="E41" s="24">
        <f>-E38</f>
        <v>-16668.333333333328</v>
      </c>
    </row>
    <row r="42" spans="1:26">
      <c r="A42" s="43"/>
      <c r="B42" s="23" t="s">
        <v>42</v>
      </c>
      <c r="E42" s="4">
        <f>SUM(E40:E41)</f>
        <v>13331.666666666672</v>
      </c>
    </row>
    <row r="43" spans="1:26" ht="15.75" thickBot="1">
      <c r="A43" s="43" t="s">
        <v>43</v>
      </c>
      <c r="B43" s="39" t="s">
        <v>44</v>
      </c>
      <c r="C43" s="40"/>
      <c r="D43" s="40"/>
      <c r="E43" s="62">
        <f>-Tax</f>
        <v>-0.34</v>
      </c>
    </row>
    <row r="44" spans="1:26">
      <c r="B44" s="41" t="s">
        <v>45</v>
      </c>
      <c r="E44" s="1">
        <f>E42*E43</f>
        <v>-4532.7666666666682</v>
      </c>
    </row>
    <row r="45" spans="1:26" s="22" customFormat="1">
      <c r="A45" s="42"/>
      <c r="B45" s="41"/>
      <c r="E45" s="23"/>
    </row>
    <row r="46" spans="1:26" s="22" customFormat="1">
      <c r="A46" s="42"/>
      <c r="B46" s="96" t="str">
        <f>"Tax Effect at t="&amp;'Inputs-Outputs'!$G$6&amp;" for OLD Project"</f>
        <v>Tax Effect at t=8 for OLD Project</v>
      </c>
      <c r="C46" s="96"/>
      <c r="D46" s="96"/>
      <c r="E46" s="96"/>
      <c r="H46" s="96" t="str">
        <f>"Tax Effect at t="&amp;'Inputs-Outputs'!$G$6&amp;" for NEW Project"</f>
        <v>Tax Effect at t=8 for NEW Project</v>
      </c>
      <c r="I46" s="96"/>
      <c r="J46" s="96"/>
      <c r="K46" s="96"/>
    </row>
    <row r="48" spans="1:26">
      <c r="B48" s="23" t="s">
        <v>61</v>
      </c>
      <c r="C48" s="22"/>
      <c r="D48" s="22"/>
      <c r="E48" s="23">
        <f>C19</f>
        <v>50000</v>
      </c>
      <c r="G48" s="42"/>
      <c r="H48" s="23" t="s">
        <v>62</v>
      </c>
      <c r="I48" s="22"/>
      <c r="J48" s="22"/>
      <c r="K48" s="23">
        <f>G19</f>
        <v>100000</v>
      </c>
    </row>
    <row r="49" spans="1:11" ht="18" thickBot="1">
      <c r="A49" s="43" t="s">
        <v>15</v>
      </c>
      <c r="B49" s="39" t="s">
        <v>41</v>
      </c>
      <c r="C49" s="40"/>
      <c r="D49" s="40"/>
      <c r="E49" s="24">
        <f>-M26-M31</f>
        <v>-44441.666666666672</v>
      </c>
      <c r="G49" s="43" t="s">
        <v>15</v>
      </c>
      <c r="H49" s="39" t="s">
        <v>41</v>
      </c>
      <c r="I49" s="40"/>
      <c r="J49" s="40"/>
      <c r="K49" s="24">
        <f>-M30</f>
        <v>-100000</v>
      </c>
    </row>
    <row r="50" spans="1:11">
      <c r="A50" s="43"/>
      <c r="B50" s="23" t="s">
        <v>40</v>
      </c>
      <c r="C50" s="22"/>
      <c r="D50" s="22"/>
      <c r="E50" s="23">
        <f>SUM(E48:E49)</f>
        <v>5558.3333333333285</v>
      </c>
      <c r="G50" s="43"/>
      <c r="H50" s="23" t="s">
        <v>40</v>
      </c>
      <c r="I50" s="22"/>
      <c r="J50" s="22"/>
      <c r="K50" s="23">
        <f>SUM(K48:K49)</f>
        <v>0</v>
      </c>
    </row>
    <row r="51" spans="1:11">
      <c r="A51" s="43"/>
      <c r="B51" s="23"/>
      <c r="C51" s="22"/>
      <c r="D51" s="22"/>
      <c r="E51" s="23"/>
      <c r="G51" s="43"/>
      <c r="H51" s="23"/>
      <c r="I51" s="22"/>
      <c r="J51" s="22"/>
      <c r="K51" s="23"/>
    </row>
    <row r="52" spans="1:11">
      <c r="A52" s="43"/>
      <c r="B52" s="23" t="str">
        <f>"Value of Old Project at t="&amp;Life</f>
        <v>Value of Old Project at t=8</v>
      </c>
      <c r="C52" s="22"/>
      <c r="D52" s="22"/>
      <c r="E52" s="23">
        <f>'Inputs-Outputs'!F15</f>
        <v>5000</v>
      </c>
      <c r="G52" s="43"/>
      <c r="H52" s="23" t="str">
        <f>"Value of New Project at t="&amp;Life</f>
        <v>Value of New Project at t=8</v>
      </c>
      <c r="I52" s="22"/>
      <c r="J52" s="22"/>
      <c r="K52" s="23">
        <f>'Inputs-Outputs'!G15</f>
        <v>25000</v>
      </c>
    </row>
    <row r="53" spans="1:11" ht="18" thickBot="1">
      <c r="A53" s="43" t="s">
        <v>15</v>
      </c>
      <c r="B53" s="39" t="s">
        <v>40</v>
      </c>
      <c r="C53" s="40"/>
      <c r="D53" s="40"/>
      <c r="E53" s="24">
        <f>-E50</f>
        <v>-5558.3333333333285</v>
      </c>
      <c r="G53" s="43" t="s">
        <v>15</v>
      </c>
      <c r="H53" s="25" t="s">
        <v>65</v>
      </c>
      <c r="I53" s="40"/>
      <c r="J53" s="40"/>
      <c r="K53" s="24">
        <f>-K50</f>
        <v>0</v>
      </c>
    </row>
    <row r="54" spans="1:11">
      <c r="A54" s="43"/>
      <c r="B54" s="23" t="s">
        <v>42</v>
      </c>
      <c r="C54" s="22"/>
      <c r="D54" s="22"/>
      <c r="E54" s="4">
        <f>SUM(E52:E53)</f>
        <v>-558.33333333332848</v>
      </c>
      <c r="G54" s="43"/>
      <c r="H54" s="23" t="s">
        <v>42</v>
      </c>
      <c r="I54" s="22"/>
      <c r="J54" s="22"/>
      <c r="K54" s="4">
        <f>SUM(K52:K53)</f>
        <v>25000</v>
      </c>
    </row>
    <row r="55" spans="1:11" ht="15.75" thickBot="1">
      <c r="A55" s="43" t="s">
        <v>43</v>
      </c>
      <c r="B55" s="39" t="s">
        <v>44</v>
      </c>
      <c r="C55" s="40"/>
      <c r="D55" s="40"/>
      <c r="E55" s="21">
        <f>-Tax</f>
        <v>-0.34</v>
      </c>
      <c r="G55" s="43" t="s">
        <v>43</v>
      </c>
      <c r="H55" s="39" t="s">
        <v>44</v>
      </c>
      <c r="I55" s="40"/>
      <c r="J55" s="40"/>
      <c r="K55" s="21">
        <f>-Tax</f>
        <v>-0.34</v>
      </c>
    </row>
    <row r="56" spans="1:11">
      <c r="B56" s="41" t="s">
        <v>45</v>
      </c>
      <c r="C56" s="22"/>
      <c r="D56" s="22"/>
      <c r="E56" s="23">
        <f>E54*E55</f>
        <v>189.83333333333169</v>
      </c>
      <c r="G56" s="42"/>
      <c r="H56" s="41" t="s">
        <v>45</v>
      </c>
      <c r="I56" s="22"/>
      <c r="J56" s="22"/>
      <c r="K56" s="23">
        <f>K54*K55</f>
        <v>-8500</v>
      </c>
    </row>
    <row r="58" spans="1:11">
      <c r="B58" s="23" t="str">
        <f>"Value of Old Project at t="&amp;Life</f>
        <v>Value of Old Project at t=8</v>
      </c>
      <c r="E58" s="23">
        <f>E52</f>
        <v>5000</v>
      </c>
      <c r="G58" s="42"/>
      <c r="H58" s="23" t="str">
        <f>"Value of Old Project at t="&amp;Life</f>
        <v>Value of Old Project at t=8</v>
      </c>
      <c r="I58" s="22"/>
      <c r="J58" s="22"/>
      <c r="K58" s="23">
        <f>K52</f>
        <v>25000</v>
      </c>
    </row>
    <row r="59" spans="1:11" ht="15.75" thickBot="1">
      <c r="A59" s="49" t="s">
        <v>18</v>
      </c>
      <c r="B59" s="25" t="s">
        <v>45</v>
      </c>
      <c r="C59" s="40"/>
      <c r="D59" s="40"/>
      <c r="E59" s="25">
        <f>+E56</f>
        <v>189.83333333333169</v>
      </c>
      <c r="G59" s="49" t="s">
        <v>18</v>
      </c>
      <c r="H59" s="25" t="s">
        <v>45</v>
      </c>
      <c r="I59" s="40"/>
      <c r="J59" s="40"/>
      <c r="K59" s="25">
        <f>+K56</f>
        <v>-8500</v>
      </c>
    </row>
    <row r="60" spans="1:11">
      <c r="B60" s="44" t="s">
        <v>63</v>
      </c>
      <c r="E60" s="23">
        <f>SUM(E58:E59)</f>
        <v>5189.8333333333321</v>
      </c>
      <c r="G60" s="42"/>
      <c r="H60" s="44" t="s">
        <v>64</v>
      </c>
      <c r="I60" s="22"/>
      <c r="J60" s="22"/>
      <c r="K60" s="23">
        <f>SUM(K58:K59)</f>
        <v>16500</v>
      </c>
    </row>
    <row r="62" spans="1:11">
      <c r="H62" s="44" t="s">
        <v>60</v>
      </c>
      <c r="K62" s="23">
        <f>K60-E60</f>
        <v>11310.166666666668</v>
      </c>
    </row>
  </sheetData>
  <mergeCells count="5">
    <mergeCell ref="B2:F2"/>
    <mergeCell ref="B34:E34"/>
    <mergeCell ref="B46:E46"/>
    <mergeCell ref="H46:K46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53"/>
  <sheetViews>
    <sheetView topLeftCell="A137" zoomScale="145" zoomScaleNormal="145" workbookViewId="0">
      <selection activeCell="L154" sqref="L154"/>
    </sheetView>
  </sheetViews>
  <sheetFormatPr defaultRowHeight="15"/>
  <cols>
    <col min="1" max="1" width="3.140625" style="22" customWidth="1"/>
    <col min="2" max="3" width="9.140625" style="22"/>
    <col min="4" max="4" width="9.42578125" style="22" bestFit="1" customWidth="1"/>
    <col min="5" max="6" width="12.42578125" style="22" customWidth="1"/>
    <col min="7" max="7" width="10.42578125" style="22" customWidth="1"/>
    <col min="8" max="8" width="9.140625" style="22"/>
    <col min="9" max="9" width="9.42578125" style="22" bestFit="1" customWidth="1"/>
    <col min="10" max="10" width="11.85546875" style="22" bestFit="1" customWidth="1"/>
    <col min="11" max="16384" width="9.140625" style="22"/>
  </cols>
  <sheetData>
    <row r="2" spans="2:2">
      <c r="B2" s="22" t="s">
        <v>91</v>
      </c>
    </row>
    <row r="3" spans="2:2">
      <c r="B3" s="22" t="s">
        <v>92</v>
      </c>
    </row>
    <row r="4" spans="2:2">
      <c r="B4" s="22" t="s">
        <v>93</v>
      </c>
    </row>
    <row r="5" spans="2:2">
      <c r="B5" s="22" t="s">
        <v>94</v>
      </c>
    </row>
    <row r="7" spans="2:2">
      <c r="B7" s="22" t="s">
        <v>95</v>
      </c>
    </row>
    <row r="8" spans="2:2">
      <c r="B8" s="22" t="s">
        <v>96</v>
      </c>
    </row>
    <row r="9" spans="2:2">
      <c r="B9" s="22" t="s">
        <v>97</v>
      </c>
    </row>
    <row r="10" spans="2:2">
      <c r="B10" s="22" t="s">
        <v>98</v>
      </c>
    </row>
    <row r="12" spans="2:2">
      <c r="B12" s="22" t="s">
        <v>99</v>
      </c>
    </row>
    <row r="13" spans="2:2">
      <c r="B13" s="22" t="s">
        <v>100</v>
      </c>
    </row>
    <row r="14" spans="2:2">
      <c r="B14" s="22" t="s">
        <v>101</v>
      </c>
    </row>
    <row r="15" spans="2:2">
      <c r="B15" s="22" t="s">
        <v>102</v>
      </c>
    </row>
    <row r="17" spans="2:7">
      <c r="B17" s="55" t="s">
        <v>103</v>
      </c>
    </row>
    <row r="18" spans="2:7">
      <c r="C18" s="22" t="s">
        <v>28</v>
      </c>
      <c r="D18" s="22" t="s">
        <v>71</v>
      </c>
      <c r="F18" s="22" t="s">
        <v>28</v>
      </c>
      <c r="G18" s="75">
        <f>D28</f>
        <v>-1192.1362275366791</v>
      </c>
    </row>
    <row r="19" spans="2:7">
      <c r="C19" s="22">
        <v>0</v>
      </c>
      <c r="D19" s="76">
        <v>-12000</v>
      </c>
      <c r="F19" s="22">
        <v>0</v>
      </c>
      <c r="G19" s="22">
        <v>10000</v>
      </c>
    </row>
    <row r="20" spans="2:7">
      <c r="C20" s="22">
        <v>1</v>
      </c>
      <c r="D20" s="76">
        <v>2000</v>
      </c>
      <c r="F20" s="72">
        <v>0.05</v>
      </c>
      <c r="G20" s="22">
        <v>6313.6793606417123</v>
      </c>
    </row>
    <row r="21" spans="2:7">
      <c r="C21" s="22">
        <v>2</v>
      </c>
      <c r="D21" s="76">
        <v>3000</v>
      </c>
      <c r="F21" s="72">
        <v>0.1</v>
      </c>
      <c r="G21" s="22">
        <v>3459.4281540404154</v>
      </c>
    </row>
    <row r="22" spans="2:7">
      <c r="C22" s="22">
        <v>3</v>
      </c>
      <c r="D22" s="76">
        <v>4000</v>
      </c>
      <c r="F22" s="72">
        <v>0.15</v>
      </c>
      <c r="G22" s="22">
        <v>1214.4099192054764</v>
      </c>
    </row>
    <row r="23" spans="2:7">
      <c r="C23" s="22">
        <v>4</v>
      </c>
      <c r="D23" s="76">
        <v>5000</v>
      </c>
      <c r="F23" s="72">
        <v>0.2</v>
      </c>
      <c r="G23" s="22">
        <v>-576.81755829903886</v>
      </c>
    </row>
    <row r="24" spans="2:7">
      <c r="C24" s="22">
        <v>5</v>
      </c>
      <c r="D24" s="76">
        <v>4000</v>
      </c>
      <c r="F24" s="72">
        <v>0.25</v>
      </c>
      <c r="G24" s="22">
        <v>-2024.7040000000015</v>
      </c>
    </row>
    <row r="25" spans="2:7">
      <c r="C25" s="22">
        <v>6</v>
      </c>
      <c r="D25" s="76">
        <v>4000</v>
      </c>
      <c r="F25" s="72">
        <v>0.3</v>
      </c>
      <c r="G25" s="22">
        <v>-3209.0658652538368</v>
      </c>
    </row>
    <row r="27" spans="2:7">
      <c r="C27" s="22" t="s">
        <v>104</v>
      </c>
      <c r="D27" s="72">
        <v>0.22</v>
      </c>
    </row>
    <row r="28" spans="2:7">
      <c r="C28" s="22" t="s">
        <v>73</v>
      </c>
      <c r="D28" s="75">
        <f>NPV(D27,D20:D25)+D19</f>
        <v>-1192.1362275366791</v>
      </c>
    </row>
    <row r="29" spans="2:7">
      <c r="C29" s="22" t="s">
        <v>74</v>
      </c>
      <c r="D29" s="73">
        <f>IRR(D19:D25)</f>
        <v>0.18267835438108454</v>
      </c>
    </row>
    <row r="31" spans="2:7">
      <c r="B31" s="22" t="s">
        <v>105</v>
      </c>
    </row>
    <row r="33" spans="2:9">
      <c r="B33" s="77" t="s">
        <v>106</v>
      </c>
      <c r="C33" s="55" t="s">
        <v>107</v>
      </c>
      <c r="D33" s="55"/>
      <c r="E33" s="55"/>
      <c r="F33" s="55"/>
      <c r="G33" s="55"/>
      <c r="H33" s="55"/>
      <c r="I33" s="55"/>
    </row>
    <row r="35" spans="2:9">
      <c r="D35" s="22" t="s">
        <v>108</v>
      </c>
    </row>
    <row r="36" spans="2:9">
      <c r="D36" s="22" t="s">
        <v>109</v>
      </c>
    </row>
    <row r="37" spans="2:9">
      <c r="D37" s="22" t="s">
        <v>110</v>
      </c>
    </row>
    <row r="39" spans="2:9">
      <c r="D39" s="22" t="s">
        <v>111</v>
      </c>
    </row>
    <row r="41" spans="2:9">
      <c r="D41" s="22" t="s">
        <v>28</v>
      </c>
      <c r="I41" s="78">
        <f>E60</f>
        <v>25.75450611252154</v>
      </c>
    </row>
    <row r="42" spans="2:9">
      <c r="D42" s="22">
        <v>0</v>
      </c>
      <c r="E42" s="79">
        <v>-1000</v>
      </c>
      <c r="F42" s="79">
        <v>-1000</v>
      </c>
      <c r="H42" s="80">
        <v>0</v>
      </c>
      <c r="I42" s="79">
        <v>-50</v>
      </c>
    </row>
    <row r="43" spans="2:9">
      <c r="D43" s="22">
        <v>1</v>
      </c>
      <c r="E43" s="79">
        <v>1200</v>
      </c>
      <c r="F43" s="79">
        <v>1071.4285714285713</v>
      </c>
      <c r="H43" s="80">
        <v>0.02</v>
      </c>
      <c r="I43" s="79">
        <v>-9.2830942618356858</v>
      </c>
    </row>
    <row r="44" spans="2:9">
      <c r="D44" s="22">
        <v>2</v>
      </c>
      <c r="E44" s="79">
        <v>0</v>
      </c>
      <c r="F44" s="79"/>
      <c r="H44" s="80">
        <v>0.04</v>
      </c>
      <c r="I44" s="79">
        <v>15.030028167835098</v>
      </c>
    </row>
    <row r="45" spans="2:9">
      <c r="D45" s="22">
        <v>3</v>
      </c>
      <c r="E45" s="79">
        <v>0</v>
      </c>
      <c r="F45" s="79"/>
      <c r="H45" s="80">
        <v>0.06</v>
      </c>
      <c r="I45" s="79">
        <v>27.759206514228026</v>
      </c>
    </row>
    <row r="46" spans="2:9">
      <c r="D46" s="22">
        <v>4</v>
      </c>
      <c r="E46" s="79">
        <v>0</v>
      </c>
      <c r="F46" s="79"/>
      <c r="H46" s="80">
        <v>0.08</v>
      </c>
      <c r="I46" s="79">
        <v>32.300684869638644</v>
      </c>
    </row>
    <row r="47" spans="2:9">
      <c r="D47" s="22">
        <v>5</v>
      </c>
      <c r="E47" s="79">
        <v>0</v>
      </c>
      <c r="F47" s="79"/>
      <c r="H47" s="80">
        <v>0.1</v>
      </c>
      <c r="I47" s="79">
        <v>31.061078566799779</v>
      </c>
    </row>
    <row r="48" spans="2:9">
      <c r="D48" s="22">
        <v>6</v>
      </c>
      <c r="E48" s="79">
        <v>0</v>
      </c>
      <c r="F48" s="79"/>
      <c r="H48" s="80">
        <v>0.12</v>
      </c>
      <c r="I48" s="79">
        <v>25.75450611252154</v>
      </c>
    </row>
    <row r="49" spans="2:10">
      <c r="D49" s="22">
        <v>7</v>
      </c>
      <c r="E49" s="79">
        <v>0</v>
      </c>
      <c r="F49" s="79"/>
      <c r="H49" s="80">
        <v>0.14000000000000001</v>
      </c>
      <c r="I49" s="79">
        <v>17.607458430078623</v>
      </c>
    </row>
    <row r="50" spans="2:10">
      <c r="D50" s="22">
        <v>8</v>
      </c>
      <c r="E50" s="79">
        <v>0</v>
      </c>
      <c r="F50" s="79"/>
      <c r="H50" s="80">
        <v>0.16</v>
      </c>
      <c r="I50" s="79">
        <v>7.501005125185884</v>
      </c>
    </row>
    <row r="51" spans="2:10">
      <c r="D51" s="22">
        <v>9</v>
      </c>
      <c r="E51" s="79">
        <v>0</v>
      </c>
      <c r="F51" s="79"/>
      <c r="H51" s="80">
        <v>0.18</v>
      </c>
      <c r="I51" s="79">
        <v>-3.929857303151266</v>
      </c>
    </row>
    <row r="52" spans="2:10">
      <c r="D52" s="22">
        <v>10</v>
      </c>
      <c r="E52" s="79">
        <v>0</v>
      </c>
      <c r="F52" s="79"/>
      <c r="H52" s="80">
        <v>0.2</v>
      </c>
      <c r="I52" s="79">
        <v>-16.226367879718623</v>
      </c>
    </row>
    <row r="53" spans="2:10">
      <c r="D53" s="22">
        <v>11</v>
      </c>
      <c r="E53" s="79">
        <v>0</v>
      </c>
      <c r="F53" s="79"/>
      <c r="H53" s="80">
        <v>0.22</v>
      </c>
      <c r="I53" s="79">
        <v>-29.056615869377879</v>
      </c>
    </row>
    <row r="54" spans="2:10">
      <c r="D54" s="22">
        <v>12</v>
      </c>
      <c r="E54" s="79">
        <v>0</v>
      </c>
      <c r="F54" s="79"/>
      <c r="H54" s="80">
        <v>0.24</v>
      </c>
      <c r="I54" s="79">
        <v>-42.180418834388547</v>
      </c>
    </row>
    <row r="55" spans="2:10">
      <c r="D55" s="22">
        <v>13</v>
      </c>
      <c r="E55" s="79">
        <v>0</v>
      </c>
      <c r="F55" s="79"/>
      <c r="H55" s="80">
        <v>0.26</v>
      </c>
      <c r="I55" s="79">
        <v>-55.424208009106337</v>
      </c>
    </row>
    <row r="56" spans="2:10">
      <c r="D56" s="22">
        <v>14</v>
      </c>
      <c r="E56" s="79">
        <v>0</v>
      </c>
      <c r="F56" s="79"/>
      <c r="H56" s="80">
        <v>0.28000000000000003</v>
      </c>
      <c r="I56" s="79">
        <v>-68.66297582203913</v>
      </c>
    </row>
    <row r="57" spans="2:10">
      <c r="D57" s="22">
        <v>15</v>
      </c>
      <c r="E57" s="79">
        <v>-250</v>
      </c>
      <c r="F57" s="79">
        <v>-45.67406531604982</v>
      </c>
      <c r="H57" s="80">
        <v>0.3</v>
      </c>
      <c r="I57" s="79">
        <v>-81.80723514087299</v>
      </c>
    </row>
    <row r="59" spans="2:10">
      <c r="D59" s="22" t="s">
        <v>112</v>
      </c>
      <c r="E59" s="72">
        <v>0.12</v>
      </c>
    </row>
    <row r="60" spans="2:10">
      <c r="D60" s="22" t="s">
        <v>73</v>
      </c>
      <c r="E60" s="81">
        <f>NPV(E59,E43:E57)+E42</f>
        <v>25.75450611252154</v>
      </c>
    </row>
    <row r="61" spans="2:10">
      <c r="E61" s="79"/>
    </row>
    <row r="62" spans="2:10">
      <c r="B62" s="77" t="s">
        <v>113</v>
      </c>
      <c r="C62" s="55" t="s">
        <v>114</v>
      </c>
      <c r="D62" s="55"/>
      <c r="E62" s="82"/>
      <c r="F62" s="55"/>
      <c r="G62" s="55"/>
      <c r="H62" s="55"/>
      <c r="I62" s="55"/>
      <c r="J62" s="55"/>
    </row>
    <row r="64" spans="2:10">
      <c r="I64" s="83">
        <f>E77</f>
        <v>165.04088766912309</v>
      </c>
      <c r="J64" s="83">
        <f>F77</f>
        <v>465.22137564246623</v>
      </c>
    </row>
    <row r="65" spans="4:10">
      <c r="D65" s="55" t="s">
        <v>28</v>
      </c>
      <c r="E65" s="55" t="s">
        <v>115</v>
      </c>
      <c r="F65" s="55" t="s">
        <v>116</v>
      </c>
      <c r="H65" s="80">
        <v>0</v>
      </c>
      <c r="I65" s="22">
        <v>560</v>
      </c>
      <c r="J65" s="22">
        <v>2700</v>
      </c>
    </row>
    <row r="66" spans="4:10">
      <c r="D66" s="22">
        <v>0</v>
      </c>
      <c r="E66" s="81">
        <v>-2000</v>
      </c>
      <c r="F66" s="81">
        <v>-2000</v>
      </c>
      <c r="H66" s="80">
        <v>0.02</v>
      </c>
      <c r="I66" s="22">
        <v>470.76643674407478</v>
      </c>
      <c r="J66" s="22">
        <v>2116.223583029192</v>
      </c>
    </row>
    <row r="67" spans="4:10">
      <c r="D67" s="22">
        <v>1</v>
      </c>
      <c r="E67" s="81">
        <v>1200</v>
      </c>
      <c r="F67" s="81">
        <v>-350</v>
      </c>
      <c r="H67" s="80">
        <v>0.04</v>
      </c>
      <c r="I67" s="22">
        <v>387.1129278292342</v>
      </c>
      <c r="J67" s="22">
        <v>1612.0056966346301</v>
      </c>
    </row>
    <row r="68" spans="4:10">
      <c r="D68" s="22">
        <v>2</v>
      </c>
      <c r="E68" s="81">
        <v>900</v>
      </c>
      <c r="F68" s="81">
        <v>-60</v>
      </c>
      <c r="H68" s="80">
        <v>0.06</v>
      </c>
      <c r="I68" s="22">
        <v>308.55455441266577</v>
      </c>
      <c r="J68" s="22">
        <v>1175.2147611455002</v>
      </c>
    </row>
    <row r="69" spans="4:10">
      <c r="D69" s="22">
        <v>3</v>
      </c>
      <c r="E69" s="81">
        <v>300</v>
      </c>
      <c r="F69" s="81">
        <v>60</v>
      </c>
      <c r="H69" s="80">
        <v>0.08</v>
      </c>
      <c r="I69" s="22">
        <v>234.65923223281015</v>
      </c>
      <c r="J69" s="22">
        <v>795.76087656511527</v>
      </c>
    </row>
    <row r="70" spans="4:10">
      <c r="D70" s="22">
        <v>4</v>
      </c>
      <c r="E70" s="81">
        <v>90</v>
      </c>
      <c r="F70" s="81">
        <v>350</v>
      </c>
      <c r="H70" s="80">
        <v>0.1</v>
      </c>
      <c r="I70" s="22">
        <v>165.04088766912309</v>
      </c>
      <c r="J70" s="22">
        <v>465.22137564246623</v>
      </c>
    </row>
    <row r="71" spans="4:10">
      <c r="D71" s="22">
        <v>5</v>
      </c>
      <c r="E71" s="81">
        <v>70</v>
      </c>
      <c r="F71" s="81">
        <v>700</v>
      </c>
      <c r="H71" s="80">
        <v>0.12</v>
      </c>
      <c r="I71" s="22">
        <v>99.353642525249597</v>
      </c>
      <c r="J71" s="22">
        <v>176.54045701654013</v>
      </c>
    </row>
    <row r="72" spans="4:10">
      <c r="D72" s="22">
        <v>6</v>
      </c>
      <c r="E72" s="81">
        <v>0</v>
      </c>
      <c r="F72" s="81">
        <v>1200</v>
      </c>
      <c r="H72" s="80">
        <v>0.14000000000000001</v>
      </c>
      <c r="I72" s="22">
        <v>37.286840899745812</v>
      </c>
      <c r="J72" s="22">
        <v>-76.212782159823291</v>
      </c>
    </row>
    <row r="73" spans="4:10">
      <c r="D73" s="22">
        <v>7</v>
      </c>
      <c r="E73" s="81">
        <v>0</v>
      </c>
      <c r="F73" s="81">
        <v>2800</v>
      </c>
      <c r="H73" s="80">
        <v>0.16</v>
      </c>
      <c r="I73" s="22">
        <v>-21.439218251498232</v>
      </c>
      <c r="J73" s="22">
        <v>-298.04006726805505</v>
      </c>
    </row>
    <row r="74" spans="4:10">
      <c r="H74" s="80">
        <v>0.18</v>
      </c>
      <c r="I74" s="22">
        <v>-77.076954968626524</v>
      </c>
      <c r="J74" s="22">
        <v>-493.17288527234791</v>
      </c>
    </row>
    <row r="75" spans="4:10">
      <c r="D75" s="22" t="s">
        <v>117</v>
      </c>
      <c r="E75" s="72">
        <v>0.1</v>
      </c>
      <c r="F75" s="72">
        <f>E75</f>
        <v>0.1</v>
      </c>
      <c r="H75" s="80">
        <v>0.2</v>
      </c>
      <c r="I75" s="22">
        <v>-129.85468106995836</v>
      </c>
      <c r="J75" s="22">
        <v>-665.20204618198431</v>
      </c>
    </row>
    <row r="76" spans="4:10">
      <c r="D76" s="22" t="s">
        <v>74</v>
      </c>
      <c r="E76" s="84">
        <v>0.15257139008519277</v>
      </c>
      <c r="F76" s="84">
        <v>0.13368767530042189</v>
      </c>
      <c r="H76" s="80">
        <v>0.22</v>
      </c>
      <c r="I76" s="22">
        <v>-179.97934850060392</v>
      </c>
      <c r="J76" s="22">
        <v>-817.18368556081828</v>
      </c>
    </row>
    <row r="77" spans="4:10">
      <c r="D77" s="22" t="s">
        <v>73</v>
      </c>
      <c r="E77" s="83">
        <f>NPV(E75,E67:E73)+E66</f>
        <v>165.04088766912309</v>
      </c>
      <c r="F77" s="83">
        <f>NPV(F75,F67:F73)+F66</f>
        <v>465.22137564246623</v>
      </c>
      <c r="H77" s="80">
        <v>0.24</v>
      </c>
      <c r="I77" s="22">
        <v>-227.63893697022309</v>
      </c>
      <c r="J77" s="22">
        <v>-951.72630021118266</v>
      </c>
    </row>
    <row r="78" spans="4:10">
      <c r="H78" s="80">
        <v>0.26</v>
      </c>
      <c r="I78" s="22">
        <v>-273.0045340541235</v>
      </c>
      <c r="J78" s="22">
        <v>-1071.0624562332694</v>
      </c>
    </row>
    <row r="79" spans="4:10">
      <c r="H79" s="80">
        <v>0.28000000000000003</v>
      </c>
      <c r="I79" s="22">
        <v>-316.23215228319168</v>
      </c>
      <c r="J79" s="22">
        <v>-1177.1080650505612</v>
      </c>
    </row>
    <row r="80" spans="4:10">
      <c r="H80" s="80">
        <v>0.3</v>
      </c>
      <c r="I80" s="22">
        <v>-357.4643206308765</v>
      </c>
      <c r="J80" s="22">
        <v>-1271.5115402647689</v>
      </c>
    </row>
    <row r="99" spans="2:5">
      <c r="B99" s="77" t="s">
        <v>118</v>
      </c>
      <c r="C99" s="55" t="s">
        <v>119</v>
      </c>
      <c r="D99" s="55"/>
      <c r="E99" s="82"/>
    </row>
    <row r="100" spans="2:5">
      <c r="C100" s="55" t="s">
        <v>120</v>
      </c>
    </row>
    <row r="102" spans="2:5">
      <c r="B102" s="77" t="s">
        <v>121</v>
      </c>
      <c r="C102" s="55" t="s">
        <v>122</v>
      </c>
    </row>
    <row r="103" spans="2:5">
      <c r="C103" s="55" t="s">
        <v>123</v>
      </c>
    </row>
    <row r="105" spans="2:5">
      <c r="D105" s="22" t="s">
        <v>137</v>
      </c>
    </row>
    <row r="106" spans="2:5">
      <c r="D106" s="22" t="s">
        <v>136</v>
      </c>
    </row>
    <row r="108" spans="2:5">
      <c r="B108" s="55" t="s">
        <v>124</v>
      </c>
    </row>
    <row r="110" spans="2:5">
      <c r="C110" s="22" t="s">
        <v>125</v>
      </c>
    </row>
    <row r="111" spans="2:5">
      <c r="C111" s="22" t="s">
        <v>126</v>
      </c>
    </row>
    <row r="112" spans="2:5">
      <c r="C112" s="22" t="s">
        <v>127</v>
      </c>
    </row>
    <row r="114" spans="3:10">
      <c r="C114" s="22" t="s">
        <v>128</v>
      </c>
    </row>
    <row r="116" spans="3:10">
      <c r="C116" s="22" t="s">
        <v>111</v>
      </c>
    </row>
    <row r="118" spans="3:10">
      <c r="D118" s="22" t="s">
        <v>28</v>
      </c>
      <c r="G118" s="55" t="s">
        <v>129</v>
      </c>
    </row>
    <row r="119" spans="3:10">
      <c r="D119" s="22">
        <v>0</v>
      </c>
      <c r="E119" s="81">
        <v>-2000</v>
      </c>
      <c r="I119" s="22">
        <v>0</v>
      </c>
      <c r="J119" s="81">
        <v>-2000</v>
      </c>
    </row>
    <row r="120" spans="3:10">
      <c r="D120" s="22">
        <v>1</v>
      </c>
      <c r="E120" s="81">
        <v>1200</v>
      </c>
      <c r="G120" s="71">
        <f>FV($E$126,5-D120,0,-E120)</f>
        <v>1756.9200000000005</v>
      </c>
      <c r="I120" s="22">
        <v>1</v>
      </c>
      <c r="J120" s="81">
        <v>0</v>
      </c>
    </row>
    <row r="121" spans="3:10">
      <c r="D121" s="22">
        <v>2</v>
      </c>
      <c r="E121" s="81">
        <v>900</v>
      </c>
      <c r="G121" s="71">
        <f t="shared" ref="G121:G124" si="0">FV($E$126,5-D121,0,-E121)</f>
        <v>1197.9000000000003</v>
      </c>
      <c r="I121" s="22">
        <v>2</v>
      </c>
      <c r="J121" s="81">
        <v>0</v>
      </c>
    </row>
    <row r="122" spans="3:10">
      <c r="D122" s="22">
        <v>3</v>
      </c>
      <c r="E122" s="81">
        <v>300</v>
      </c>
      <c r="G122" s="71">
        <f t="shared" si="0"/>
        <v>363.00000000000006</v>
      </c>
      <c r="I122" s="22">
        <v>3</v>
      </c>
      <c r="J122" s="81">
        <v>0</v>
      </c>
    </row>
    <row r="123" spans="3:10">
      <c r="D123" s="22">
        <v>4</v>
      </c>
      <c r="E123" s="81">
        <v>90</v>
      </c>
      <c r="G123" s="71">
        <f t="shared" si="0"/>
        <v>99.000000000000014</v>
      </c>
      <c r="I123" s="22">
        <v>4</v>
      </c>
      <c r="J123" s="81">
        <v>0</v>
      </c>
    </row>
    <row r="124" spans="3:10">
      <c r="D124" s="22">
        <v>5</v>
      </c>
      <c r="E124" s="81">
        <v>70</v>
      </c>
      <c r="G124" s="71">
        <f t="shared" si="0"/>
        <v>70</v>
      </c>
      <c r="I124" s="22">
        <v>5</v>
      </c>
      <c r="J124" s="85">
        <f>G125</f>
        <v>3486.8200000000006</v>
      </c>
    </row>
    <row r="125" spans="3:10">
      <c r="E125" s="81"/>
      <c r="F125" s="86" t="s">
        <v>130</v>
      </c>
      <c r="G125" s="71">
        <f>SUM(G120:G124)</f>
        <v>3486.8200000000006</v>
      </c>
      <c r="J125" s="81"/>
    </row>
    <row r="126" spans="3:10">
      <c r="D126" s="22" t="s">
        <v>117</v>
      </c>
      <c r="E126" s="72">
        <v>0.1</v>
      </c>
      <c r="J126" s="87">
        <f>RATE(5,0,J119,J124)</f>
        <v>0.11758330780701567</v>
      </c>
    </row>
    <row r="127" spans="3:10">
      <c r="D127" s="22" t="s">
        <v>74</v>
      </c>
      <c r="E127" s="84">
        <v>0.15257139008519277</v>
      </c>
    </row>
    <row r="128" spans="3:10">
      <c r="D128" s="22" t="s">
        <v>73</v>
      </c>
      <c r="E128" s="83">
        <v>165.04088766912309</v>
      </c>
      <c r="F128" s="86" t="s">
        <v>131</v>
      </c>
      <c r="G128" s="84">
        <v>0.11758330780701567</v>
      </c>
    </row>
    <row r="129" spans="2:10">
      <c r="J129" s="73"/>
    </row>
    <row r="130" spans="2:10">
      <c r="F130" s="22" t="s">
        <v>132</v>
      </c>
      <c r="G130" s="73">
        <f>MIRR(E119:E124,E126,E126)</f>
        <v>0.1175833078062094</v>
      </c>
    </row>
    <row r="132" spans="2:10">
      <c r="C132" s="22" t="s">
        <v>133</v>
      </c>
    </row>
    <row r="133" spans="2:10">
      <c r="C133" s="22" t="s">
        <v>134</v>
      </c>
    </row>
    <row r="134" spans="2:10">
      <c r="C134" s="22" t="s">
        <v>135</v>
      </c>
    </row>
    <row r="136" spans="2:10">
      <c r="B136" s="22" t="s">
        <v>141</v>
      </c>
    </row>
    <row r="138" spans="2:10" ht="15.75" thickBot="1">
      <c r="C138" s="22" t="s">
        <v>72</v>
      </c>
      <c r="G138" s="102" t="s">
        <v>143</v>
      </c>
      <c r="H138" s="102"/>
      <c r="I138" s="102"/>
    </row>
    <row r="139" spans="2:10">
      <c r="C139" s="22">
        <v>0</v>
      </c>
      <c r="D139" s="23">
        <f>'Inputs-Outputs'!C21</f>
        <v>-79532.766666666663</v>
      </c>
      <c r="G139" s="22">
        <v>0</v>
      </c>
      <c r="H139" s="23">
        <v>-79532.766666666663</v>
      </c>
    </row>
    <row r="140" spans="2:10">
      <c r="C140" s="22">
        <v>1</v>
      </c>
      <c r="D140" s="23">
        <f>'Inputs-Outputs'!C22</f>
        <v>20694.5</v>
      </c>
      <c r="E140" s="22">
        <f>IF(OR(AND(D139&gt;0,D140&lt;0),AND(D139&lt;0,D140&gt;0)),1,0)</f>
        <v>1</v>
      </c>
      <c r="G140" s="22">
        <v>1</v>
      </c>
      <c r="H140" s="23">
        <v>20694.5</v>
      </c>
      <c r="I140" s="22">
        <f>IF(OR(AND(H139&gt;0,H140&lt;0),AND(H139&lt;0,H140&gt;0)),1,0)</f>
        <v>1</v>
      </c>
    </row>
    <row r="141" spans="2:10">
      <c r="C141" s="22">
        <v>2</v>
      </c>
      <c r="D141" s="23">
        <f>'Inputs-Outputs'!C23</f>
        <v>25733.3</v>
      </c>
      <c r="E141" s="22">
        <f t="shared" ref="E141:E149" si="1">IF(OR(AND(D140&gt;0,D141&lt;0),AND(D140&lt;0,D141&gt;0)),1,0)</f>
        <v>0</v>
      </c>
      <c r="G141" s="22">
        <v>2</v>
      </c>
      <c r="H141" s="23">
        <v>25733.3</v>
      </c>
      <c r="I141" s="22">
        <f t="shared" ref="I141:I149" si="2">IF(OR(AND(H140&gt;0,H141&lt;0),AND(H140&lt;0,H141&gt;0)),1,0)</f>
        <v>0</v>
      </c>
    </row>
    <row r="142" spans="2:10">
      <c r="C142" s="22">
        <v>3</v>
      </c>
      <c r="D142" s="23">
        <f>'Inputs-Outputs'!C24</f>
        <v>16915.400000000001</v>
      </c>
      <c r="E142" s="22">
        <f t="shared" si="1"/>
        <v>0</v>
      </c>
      <c r="G142" s="22">
        <v>3</v>
      </c>
      <c r="H142" s="23">
        <v>-15000</v>
      </c>
      <c r="I142" s="22">
        <f t="shared" si="2"/>
        <v>1</v>
      </c>
    </row>
    <row r="143" spans="2:10">
      <c r="C143" s="22">
        <v>4</v>
      </c>
      <c r="D143" s="23">
        <f>'Inputs-Outputs'!C25</f>
        <v>14399.4</v>
      </c>
      <c r="E143" s="22">
        <f t="shared" si="1"/>
        <v>0</v>
      </c>
      <c r="G143" s="22">
        <v>4</v>
      </c>
      <c r="H143" s="23">
        <v>14399.4</v>
      </c>
      <c r="I143" s="22">
        <f t="shared" si="2"/>
        <v>1</v>
      </c>
    </row>
    <row r="144" spans="2:10">
      <c r="C144" s="22">
        <v>5</v>
      </c>
      <c r="D144" s="23">
        <f>'Inputs-Outputs'!C26</f>
        <v>11880</v>
      </c>
      <c r="E144" s="22">
        <f t="shared" si="1"/>
        <v>0</v>
      </c>
      <c r="G144" s="22">
        <v>5</v>
      </c>
      <c r="H144" s="23">
        <v>11880</v>
      </c>
      <c r="I144" s="22">
        <f t="shared" si="2"/>
        <v>0</v>
      </c>
    </row>
    <row r="145" spans="3:9">
      <c r="C145" s="22">
        <v>6</v>
      </c>
      <c r="D145" s="23">
        <f>'Inputs-Outputs'!C27</f>
        <v>11880</v>
      </c>
      <c r="E145" s="22">
        <f t="shared" si="1"/>
        <v>0</v>
      </c>
      <c r="G145" s="22">
        <v>6</v>
      </c>
      <c r="H145" s="23">
        <v>11880</v>
      </c>
      <c r="I145" s="22">
        <f t="shared" si="2"/>
        <v>0</v>
      </c>
    </row>
    <row r="146" spans="3:9">
      <c r="C146" s="22">
        <v>7</v>
      </c>
      <c r="D146" s="23">
        <f>'Inputs-Outputs'!C28</f>
        <v>11880</v>
      </c>
      <c r="E146" s="22">
        <f t="shared" si="1"/>
        <v>0</v>
      </c>
      <c r="G146" s="22">
        <v>7</v>
      </c>
      <c r="H146" s="23">
        <v>11880</v>
      </c>
      <c r="I146" s="22">
        <f t="shared" si="2"/>
        <v>0</v>
      </c>
    </row>
    <row r="147" spans="3:9">
      <c r="C147" s="22">
        <v>8</v>
      </c>
      <c r="D147" s="23">
        <f>'Inputs-Outputs'!C29</f>
        <v>18190.166666666668</v>
      </c>
      <c r="E147" s="22">
        <f t="shared" si="1"/>
        <v>0</v>
      </c>
      <c r="G147" s="22">
        <v>8</v>
      </c>
      <c r="H147" s="23">
        <v>18190.166666666668</v>
      </c>
      <c r="I147" s="22">
        <f t="shared" si="2"/>
        <v>0</v>
      </c>
    </row>
    <row r="148" spans="3:9">
      <c r="C148" s="22">
        <v>9</v>
      </c>
      <c r="D148" s="23" t="str">
        <f>'Inputs-Outputs'!C30</f>
        <v/>
      </c>
      <c r="E148" s="22">
        <f t="shared" si="1"/>
        <v>0</v>
      </c>
      <c r="G148" s="22">
        <v>9</v>
      </c>
      <c r="H148" s="23" t="s">
        <v>142</v>
      </c>
      <c r="I148" s="22">
        <f t="shared" si="2"/>
        <v>0</v>
      </c>
    </row>
    <row r="149" spans="3:9">
      <c r="C149" s="22">
        <v>10</v>
      </c>
      <c r="D149" s="23" t="str">
        <f>'Inputs-Outputs'!C31</f>
        <v/>
      </c>
      <c r="E149" s="22">
        <f t="shared" si="1"/>
        <v>0</v>
      </c>
      <c r="G149" s="22">
        <v>10</v>
      </c>
      <c r="H149" s="23" t="s">
        <v>142</v>
      </c>
      <c r="I149" s="22">
        <f t="shared" si="2"/>
        <v>0</v>
      </c>
    </row>
    <row r="150" spans="3:9">
      <c r="D150" s="22" t="s">
        <v>144</v>
      </c>
      <c r="E150" s="22">
        <f>SUM(E140:E149)</f>
        <v>1</v>
      </c>
      <c r="H150" s="22" t="s">
        <v>144</v>
      </c>
      <c r="I150" s="22">
        <f>SUM(I140:I149)</f>
        <v>3</v>
      </c>
    </row>
    <row r="152" spans="3:9">
      <c r="D152" s="22" t="s">
        <v>145</v>
      </c>
    </row>
    <row r="153" spans="3:9">
      <c r="D153" s="22" t="s">
        <v>146</v>
      </c>
    </row>
  </sheetData>
  <mergeCells count="1">
    <mergeCell ref="G138:I1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5:O30"/>
  <sheetViews>
    <sheetView workbookViewId="0">
      <selection activeCell="I16" sqref="I16"/>
    </sheetView>
  </sheetViews>
  <sheetFormatPr defaultRowHeight="15"/>
  <cols>
    <col min="1" max="1" width="3.28515625" customWidth="1"/>
    <col min="3" max="14" width="14" customWidth="1"/>
  </cols>
  <sheetData>
    <row r="5" spans="2:15">
      <c r="B5" s="22"/>
    </row>
    <row r="6" spans="2:15">
      <c r="C6" s="70">
        <v>0</v>
      </c>
      <c r="D6" s="70">
        <v>1</v>
      </c>
      <c r="E6" s="70">
        <v>2</v>
      </c>
      <c r="F6" s="70">
        <v>3</v>
      </c>
      <c r="G6" s="70">
        <v>4</v>
      </c>
      <c r="H6" s="70">
        <v>5</v>
      </c>
      <c r="I6" s="70">
        <v>6</v>
      </c>
      <c r="J6" s="70">
        <v>7</v>
      </c>
      <c r="K6" s="70">
        <v>8</v>
      </c>
      <c r="L6" s="70">
        <v>9</v>
      </c>
      <c r="M6" s="70">
        <v>10</v>
      </c>
      <c r="N6" s="22" t="s">
        <v>46</v>
      </c>
    </row>
    <row r="7" spans="2:15">
      <c r="C7" s="23">
        <f>'CF Detail'!D8</f>
        <v>-79532.766666666663</v>
      </c>
      <c r="D7" s="63">
        <f>'CF Detail'!D24</f>
        <v>20694.5</v>
      </c>
      <c r="E7" s="63">
        <f>'CF Detail'!E24</f>
        <v>25733.3</v>
      </c>
      <c r="F7" s="63">
        <f>'CF Detail'!F24</f>
        <v>16915.400000000001</v>
      </c>
      <c r="G7" s="63">
        <f>'CF Detail'!G24</f>
        <v>14399.4</v>
      </c>
      <c r="H7" s="63">
        <f>'CF Detail'!H24</f>
        <v>11880</v>
      </c>
      <c r="I7" s="63">
        <f>'CF Detail'!I24</f>
        <v>11880</v>
      </c>
      <c r="J7" s="63">
        <f>'CF Detail'!J24</f>
        <v>11880</v>
      </c>
      <c r="K7" s="63">
        <f>'CF Detail'!K24</f>
        <v>18190.166666666668</v>
      </c>
      <c r="L7" s="63" t="str">
        <f>'CF Detail'!L24</f>
        <v/>
      </c>
      <c r="M7" s="63" t="str">
        <f>'CF Detail'!M24</f>
        <v/>
      </c>
      <c r="N7" s="63"/>
      <c r="O7" s="63"/>
    </row>
    <row r="9" spans="2:15">
      <c r="B9" s="22" t="s">
        <v>89</v>
      </c>
      <c r="D9" s="71">
        <f t="shared" ref="D9:M9" si="0">IF(D6&lt;=Life,FV(DRate,Life-D6,0,-D7),0)</f>
        <v>45748.946385565141</v>
      </c>
      <c r="E9" s="71">
        <f t="shared" si="0"/>
        <v>50792.971304645449</v>
      </c>
      <c r="F9" s="71">
        <f t="shared" si="0"/>
        <v>29810.714508001292</v>
      </c>
      <c r="G9" s="71">
        <f t="shared" si="0"/>
        <v>22657.734672384006</v>
      </c>
      <c r="H9" s="71">
        <f t="shared" si="0"/>
        <v>16690.544640000004</v>
      </c>
      <c r="I9" s="71">
        <f t="shared" si="0"/>
        <v>14902.272000000003</v>
      </c>
      <c r="J9" s="71">
        <f t="shared" si="0"/>
        <v>13305.6</v>
      </c>
      <c r="K9" s="71">
        <f t="shared" si="0"/>
        <v>18190.166666666668</v>
      </c>
      <c r="L9" s="71">
        <f t="shared" si="0"/>
        <v>0</v>
      </c>
      <c r="M9" s="71">
        <f t="shared" si="0"/>
        <v>0</v>
      </c>
      <c r="N9" s="71">
        <f>SUM(D9:M9)</f>
        <v>212098.95017726257</v>
      </c>
    </row>
    <row r="11" spans="2:15" ht="15.75" thickBot="1"/>
    <row r="12" spans="2:15" ht="15.75" thickBot="1">
      <c r="E12" s="22" t="s">
        <v>89</v>
      </c>
      <c r="F12" s="74">
        <f>RATE(Life,0,C7,N9)</f>
        <v>0.13044400121265598</v>
      </c>
      <c r="G12" s="22" t="s">
        <v>139</v>
      </c>
    </row>
    <row r="13" spans="2:15" ht="15.75" thickBot="1"/>
    <row r="14" spans="2:15" ht="15.75" thickBot="1">
      <c r="E14" s="22" t="s">
        <v>89</v>
      </c>
      <c r="F14" s="74">
        <f>MIRR(C7:M7,DRate,DRate)</f>
        <v>0.13044400121268884</v>
      </c>
      <c r="G14" s="22" t="s">
        <v>138</v>
      </c>
    </row>
    <row r="19" spans="2:13">
      <c r="C19" s="70">
        <v>0</v>
      </c>
      <c r="D19" s="70">
        <v>1</v>
      </c>
      <c r="E19" s="70">
        <v>2</v>
      </c>
      <c r="F19" s="70">
        <v>3</v>
      </c>
      <c r="G19" s="70">
        <v>4</v>
      </c>
      <c r="H19" s="70">
        <v>5</v>
      </c>
      <c r="I19" s="70">
        <v>6</v>
      </c>
      <c r="J19" s="70">
        <v>7</v>
      </c>
      <c r="K19" s="70">
        <v>8</v>
      </c>
      <c r="L19" s="70">
        <v>9</v>
      </c>
      <c r="M19" s="70">
        <v>10</v>
      </c>
    </row>
    <row r="20" spans="2:13">
      <c r="C20" s="23">
        <f>C7</f>
        <v>-79532.766666666663</v>
      </c>
      <c r="D20" s="23">
        <f>IF(D7="",0,D7)</f>
        <v>20694.5</v>
      </c>
      <c r="E20" s="23">
        <f t="shared" ref="E20:M20" si="1">IF(E7="",0,E7)</f>
        <v>25733.3</v>
      </c>
      <c r="F20" s="23">
        <f t="shared" si="1"/>
        <v>16915.400000000001</v>
      </c>
      <c r="G20" s="23">
        <f t="shared" si="1"/>
        <v>14399.4</v>
      </c>
      <c r="H20" s="23">
        <f t="shared" si="1"/>
        <v>11880</v>
      </c>
      <c r="I20" s="23">
        <f t="shared" si="1"/>
        <v>11880</v>
      </c>
      <c r="J20" s="23">
        <f t="shared" si="1"/>
        <v>11880</v>
      </c>
      <c r="K20" s="23">
        <f t="shared" si="1"/>
        <v>18190.166666666668</v>
      </c>
      <c r="L20" s="23">
        <f t="shared" si="1"/>
        <v>0</v>
      </c>
      <c r="M20" s="23">
        <f t="shared" si="1"/>
        <v>0</v>
      </c>
    </row>
    <row r="22" spans="2:13">
      <c r="D22" s="23">
        <f>C20+D20</f>
        <v>-58838.266666666663</v>
      </c>
      <c r="E22" s="23">
        <f>D22+E20</f>
        <v>-33104.96666666666</v>
      </c>
      <c r="F22" s="23">
        <f t="shared" ref="F22:M22" si="2">E22+F20</f>
        <v>-16189.566666666658</v>
      </c>
      <c r="G22" s="23">
        <f t="shared" si="2"/>
        <v>-1790.1666666666588</v>
      </c>
      <c r="H22" s="23">
        <f t="shared" si="2"/>
        <v>10089.833333333341</v>
      </c>
      <c r="I22" s="23">
        <f t="shared" si="2"/>
        <v>21969.833333333343</v>
      </c>
      <c r="J22" s="23">
        <f t="shared" si="2"/>
        <v>33849.833333333343</v>
      </c>
      <c r="K22" s="23">
        <f t="shared" si="2"/>
        <v>52040.000000000015</v>
      </c>
      <c r="L22" s="23">
        <f t="shared" si="2"/>
        <v>52040.000000000015</v>
      </c>
      <c r="M22" s="23">
        <f t="shared" si="2"/>
        <v>52040.000000000015</v>
      </c>
    </row>
    <row r="23" spans="2:13">
      <c r="B23" s="22" t="s">
        <v>90</v>
      </c>
      <c r="C23" t="str">
        <f>MIN(D23:M23)&amp;" Years"</f>
        <v>5 Years</v>
      </c>
      <c r="D23" t="str">
        <f>IF(D22&lt;0,"",D19)</f>
        <v/>
      </c>
      <c r="E23" s="22" t="str">
        <f t="shared" ref="E23:M23" si="3">IF(E22&lt;0,"",E19)</f>
        <v/>
      </c>
      <c r="F23" s="22" t="str">
        <f t="shared" si="3"/>
        <v/>
      </c>
      <c r="G23" s="22" t="str">
        <f t="shared" si="3"/>
        <v/>
      </c>
      <c r="H23" s="22">
        <f t="shared" si="3"/>
        <v>5</v>
      </c>
      <c r="I23" s="22">
        <f t="shared" si="3"/>
        <v>6</v>
      </c>
      <c r="J23" s="22">
        <f t="shared" si="3"/>
        <v>7</v>
      </c>
      <c r="K23" s="22">
        <f t="shared" si="3"/>
        <v>8</v>
      </c>
      <c r="L23" s="22">
        <f t="shared" si="3"/>
        <v>9</v>
      </c>
      <c r="M23" s="22">
        <f t="shared" si="3"/>
        <v>10</v>
      </c>
    </row>
    <row r="26" spans="2:13">
      <c r="C26" s="70">
        <v>0</v>
      </c>
      <c r="D26" s="70">
        <v>1</v>
      </c>
      <c r="E26" s="70">
        <v>2</v>
      </c>
      <c r="F26" s="70">
        <v>3</v>
      </c>
      <c r="G26" s="70">
        <v>4</v>
      </c>
      <c r="H26" s="70">
        <v>5</v>
      </c>
      <c r="I26" s="70">
        <v>6</v>
      </c>
      <c r="J26" s="70">
        <v>7</v>
      </c>
      <c r="K26" s="70">
        <v>8</v>
      </c>
      <c r="L26" s="70">
        <v>9</v>
      </c>
      <c r="M26" s="70">
        <v>10</v>
      </c>
    </row>
    <row r="27" spans="2:13">
      <c r="C27" s="23">
        <f>C20</f>
        <v>-79532.766666666663</v>
      </c>
      <c r="D27" s="71">
        <f>PV(DRate,D19,0,-D20)</f>
        <v>18477.232142857141</v>
      </c>
      <c r="E27" s="71">
        <f>PV(DRate,E19,0,-E20)</f>
        <v>20514.429209183669</v>
      </c>
      <c r="F27" s="71">
        <f>PV(DRate,F19,0,-F20)</f>
        <v>12040.047603862971</v>
      </c>
      <c r="G27" s="71">
        <f>PV(DRate,G19,0,-G20)</f>
        <v>9151.079018182525</v>
      </c>
      <c r="H27" s="71">
        <f>PV(DRate,H19,0,-H20)</f>
        <v>6741.0310459369584</v>
      </c>
      <c r="I27" s="71">
        <f>PV(DRate,I19,0,-I20)</f>
        <v>6018.7777195865692</v>
      </c>
      <c r="J27" s="71">
        <f>PV(DRate,J19,0,-J20)</f>
        <v>5373.9086782022941</v>
      </c>
      <c r="K27" s="71">
        <f>PV(DRate,K19,0,-K20)</f>
        <v>7346.7032308160551</v>
      </c>
      <c r="L27" s="71">
        <f>PV(DRate,L19,0,-L20)</f>
        <v>0</v>
      </c>
      <c r="M27" s="71">
        <f>PV(DRate,M19,0,-M20)</f>
        <v>0</v>
      </c>
    </row>
    <row r="29" spans="2:13">
      <c r="C29" s="22"/>
      <c r="D29" s="23">
        <f>C27+D27</f>
        <v>-61055.534523809518</v>
      </c>
      <c r="E29" s="23">
        <f>D29+E27</f>
        <v>-40541.105314625849</v>
      </c>
      <c r="F29" s="23">
        <f t="shared" ref="F29" si="4">E29+F27</f>
        <v>-28501.057710762878</v>
      </c>
      <c r="G29" s="23">
        <f t="shared" ref="G29" si="5">F29+G27</f>
        <v>-19349.978692580353</v>
      </c>
      <c r="H29" s="23">
        <f t="shared" ref="H29" si="6">G29+H27</f>
        <v>-12608.947646643395</v>
      </c>
      <c r="I29" s="23">
        <f t="shared" ref="I29" si="7">H29+I27</f>
        <v>-6590.1699270568261</v>
      </c>
      <c r="J29" s="23">
        <f t="shared" ref="J29" si="8">I29+J27</f>
        <v>-1216.2612488545319</v>
      </c>
      <c r="K29" s="23">
        <f t="shared" ref="K29" si="9">J29+K27</f>
        <v>6130.4419819615232</v>
      </c>
      <c r="L29" s="23">
        <f t="shared" ref="L29" si="10">K29+L27</f>
        <v>6130.4419819615232</v>
      </c>
      <c r="M29" s="23">
        <f t="shared" ref="M29" si="11">L29+M27</f>
        <v>6130.4419819615232</v>
      </c>
    </row>
    <row r="30" spans="2:13">
      <c r="B30" s="22" t="s">
        <v>140</v>
      </c>
      <c r="C30" s="22" t="str">
        <f>MIN(D30:M30)&amp;" Years"</f>
        <v>8 Years</v>
      </c>
      <c r="D30" s="22" t="str">
        <f>IF(D29&lt;0,"",D26)</f>
        <v/>
      </c>
      <c r="E30" s="22" t="str">
        <f t="shared" ref="E30" si="12">IF(E29&lt;0,"",E26)</f>
        <v/>
      </c>
      <c r="F30" s="22" t="str">
        <f t="shared" ref="F30" si="13">IF(F29&lt;0,"",F26)</f>
        <v/>
      </c>
      <c r="G30" s="22" t="str">
        <f t="shared" ref="G30" si="14">IF(G29&lt;0,"",G26)</f>
        <v/>
      </c>
      <c r="H30" s="22" t="str">
        <f t="shared" ref="H30" si="15">IF(H29&lt;0,"",H26)</f>
        <v/>
      </c>
      <c r="I30" s="22" t="str">
        <f t="shared" ref="I30" si="16">IF(I29&lt;0,"",I26)</f>
        <v/>
      </c>
      <c r="J30" s="22" t="str">
        <f t="shared" ref="J30" si="17">IF(J29&lt;0,"",J26)</f>
        <v/>
      </c>
      <c r="K30" s="22">
        <f t="shared" ref="K30" si="18">IF(K29&lt;0,"",K26)</f>
        <v>8</v>
      </c>
      <c r="L30" s="22">
        <f t="shared" ref="L30" si="19">IF(L29&lt;0,"",L26)</f>
        <v>9</v>
      </c>
      <c r="M30" s="22">
        <f t="shared" ref="M30" si="20">IF(M29&lt;0,"",M26)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Inputs-Outputs</vt:lpstr>
      <vt:lpstr>CF Detail</vt:lpstr>
      <vt:lpstr>Depn-ATSV</vt:lpstr>
      <vt:lpstr>IRR</vt:lpstr>
      <vt:lpstr>OTHER</vt:lpstr>
      <vt:lpstr>DRate</vt:lpstr>
      <vt:lpstr>Life</vt:lpstr>
      <vt:lpstr>Tax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dhawley</cp:lastModifiedBy>
  <dcterms:created xsi:type="dcterms:W3CDTF">2009-11-04T19:14:33Z</dcterms:created>
  <dcterms:modified xsi:type="dcterms:W3CDTF">2010-01-15T21:51:02Z</dcterms:modified>
</cp:coreProperties>
</file>